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defaultThemeVersion="124226"/>
  <bookViews>
    <workbookView xWindow="4845" yWindow="1620" windowWidth="7155" windowHeight="3495" tabRatio="607"/>
  </bookViews>
  <sheets>
    <sheet name="2014-2017 Projects" sheetId="2" r:id="rId1"/>
    <sheet name="Summaries" sheetId="3" r:id="rId2"/>
    <sheet name="Housing" sheetId="4" r:id="rId3"/>
  </sheets>
  <externalReferences>
    <externalReference r:id="rId4"/>
    <externalReference r:id="rId5"/>
    <externalReference r:id="rId6"/>
    <externalReference r:id="rId7"/>
    <externalReference r:id="rId8"/>
  </externalReferences>
  <definedNames>
    <definedName name="_xlnm._FilterDatabase" localSheetId="0" hidden="1">'2014-2017 Projects'!$A$5:$CF$155</definedName>
    <definedName name="_xlnm._FilterDatabase" localSheetId="1" hidden="1">Summaries!$A$4:$BA$378</definedName>
    <definedName name="Approve5">'[1]Template names'!$B$104</definedName>
    <definedName name="capex">'2014-2017 Projects'!$A$5:$DX$205</definedName>
    <definedName name="Funding">#REF!</definedName>
    <definedName name="Head1">'[2]Template names'!$B$2</definedName>
    <definedName name="Head10">'[3]Template names'!$B$16</definedName>
    <definedName name="Head11">'[3]Template names'!$B$17</definedName>
    <definedName name="head1A">'[1]Template names'!$B$3</definedName>
    <definedName name="head1b">'[1]Template names'!$B$4</definedName>
    <definedName name="Head2">'[2]Template names'!$B$5</definedName>
    <definedName name="head27">'[2]Template names'!$B$33</definedName>
    <definedName name="head27a">'[2]Template names'!$B$34</definedName>
    <definedName name="Head3">'[2]Template names'!$B$7</definedName>
    <definedName name="Head5">'[2]Template names'!$B$9</definedName>
    <definedName name="Head5b">'[1]Template names'!$B$11</definedName>
    <definedName name="Head6">'[1]Template names'!$B$12</definedName>
    <definedName name="Head7">'[1]Template names'!$B$13</definedName>
    <definedName name="Head8">'[2]Template names'!$B$14</definedName>
    <definedName name="Head9">'[3]Template names'!$B$15</definedName>
    <definedName name="muni">'[2]Template names'!$B$93</definedName>
    <definedName name="_xlnm.Print_Area" localSheetId="0">'2014-2017 Projects'!$A$1:$DX$155</definedName>
    <definedName name="_xlnm.Print_Area" localSheetId="2">Housing!$A$1:$BZ$122</definedName>
    <definedName name="_xlnm.Print_Area" localSheetId="1">Summaries!$A$86:$AM$109</definedName>
    <definedName name="_xlnm.Print_Titles" localSheetId="0">'2014-2017 Projects'!$5:$5</definedName>
    <definedName name="_xlnm.Print_Titles" localSheetId="2">Housing!$1:$4</definedName>
    <definedName name="TableA36">'[2]Template names'!$B$148</definedName>
    <definedName name="TableA6">'[4]Template names'!$B$116</definedName>
    <definedName name="Vdesc">'[1]Template names'!$B$32</definedName>
  </definedNames>
  <calcPr calcId="124519"/>
</workbook>
</file>

<file path=xl/calcChain.xml><?xml version="1.0" encoding="utf-8"?>
<calcChain xmlns="http://schemas.openxmlformats.org/spreadsheetml/2006/main">
  <c r="AN23" i="2"/>
  <c r="AN7" l="1"/>
  <c r="AL72" l="1"/>
  <c r="BY46"/>
  <c r="BV46"/>
  <c r="BT46"/>
  <c r="BS46"/>
  <c r="BQ46"/>
  <c r="BP46"/>
  <c r="BN46"/>
  <c r="BM46"/>
  <c r="BK46"/>
  <c r="BJ46"/>
  <c r="BH46"/>
  <c r="BG46"/>
  <c r="BE46"/>
  <c r="BD46"/>
  <c r="BB46"/>
  <c r="BA46"/>
  <c r="AY46"/>
  <c r="AX46"/>
  <c r="AV46"/>
  <c r="AU46"/>
  <c r="AS46"/>
  <c r="AR46"/>
  <c r="AP46"/>
  <c r="AO46"/>
  <c r="AM46"/>
  <c r="AL46"/>
  <c r="AM14" l="1"/>
  <c r="AO14"/>
  <c r="AP14"/>
  <c r="AR14"/>
  <c r="AS14"/>
  <c r="AU14"/>
  <c r="AV14"/>
  <c r="AX14"/>
  <c r="AY14"/>
  <c r="BA14"/>
  <c r="BB14"/>
  <c r="BD14"/>
  <c r="BE14"/>
  <c r="BG14"/>
  <c r="BH14"/>
  <c r="BJ14"/>
  <c r="BK14"/>
  <c r="BM14"/>
  <c r="BN14"/>
  <c r="BP14"/>
  <c r="BQ14"/>
  <c r="BS14"/>
  <c r="BT14"/>
  <c r="BV14"/>
  <c r="BY14"/>
  <c r="AL14"/>
  <c r="AM8"/>
  <c r="AO8"/>
  <c r="AP8"/>
  <c r="AR8"/>
  <c r="AS8"/>
  <c r="AU8"/>
  <c r="AV8"/>
  <c r="AX8"/>
  <c r="AY8"/>
  <c r="BA8"/>
  <c r="BB8"/>
  <c r="BD8"/>
  <c r="BE8"/>
  <c r="BG8"/>
  <c r="BH8"/>
  <c r="BJ8"/>
  <c r="BK8"/>
  <c r="BM8"/>
  <c r="BN8"/>
  <c r="BP8"/>
  <c r="BQ8"/>
  <c r="BS8"/>
  <c r="BT8"/>
  <c r="BV8"/>
  <c r="BY8"/>
  <c r="AL8"/>
  <c r="AN19"/>
  <c r="AK109" l="1"/>
  <c r="BW129"/>
  <c r="BZ129" s="1"/>
  <c r="BW116"/>
  <c r="CB116" s="1"/>
  <c r="BW117"/>
  <c r="CB117" s="1"/>
  <c r="BW110"/>
  <c r="CB110" s="1"/>
  <c r="BW111"/>
  <c r="CB111" s="1"/>
  <c r="BW113"/>
  <c r="CB113" s="1"/>
  <c r="AN129"/>
  <c r="BX129" s="1"/>
  <c r="AN116"/>
  <c r="BX116" s="1"/>
  <c r="AN117"/>
  <c r="BX117" s="1"/>
  <c r="AN110"/>
  <c r="BX110" s="1"/>
  <c r="AN111"/>
  <c r="BX111" s="1"/>
  <c r="AN113"/>
  <c r="BX113" s="1"/>
  <c r="CC113" l="1"/>
  <c r="CA113"/>
  <c r="CC110"/>
  <c r="CA110"/>
  <c r="CC116"/>
  <c r="CA116"/>
  <c r="CA111"/>
  <c r="CC111"/>
  <c r="CA117"/>
  <c r="CC117"/>
  <c r="CC129"/>
  <c r="CA129"/>
  <c r="BZ113"/>
  <c r="BZ110"/>
  <c r="BZ116"/>
  <c r="CB129"/>
  <c r="BZ111"/>
  <c r="BZ117"/>
  <c r="F108" i="3" a="1"/>
  <c r="F108" s="1"/>
  <c r="E108" a="1"/>
  <c r="E108" s="1"/>
  <c r="D108" a="1"/>
  <c r="D108" s="1"/>
  <c r="C108" a="1"/>
  <c r="C108" s="1"/>
  <c r="B108" a="1"/>
  <c r="B108" s="1"/>
  <c r="F107" a="1"/>
  <c r="F107" s="1"/>
  <c r="E107" a="1"/>
  <c r="E107" s="1"/>
  <c r="D107" a="1"/>
  <c r="D107" s="1"/>
  <c r="C107" a="1"/>
  <c r="C107" s="1"/>
  <c r="B107" a="1"/>
  <c r="B107" s="1"/>
  <c r="F106" a="1"/>
  <c r="F106" s="1"/>
  <c r="E106" a="1"/>
  <c r="E106" s="1"/>
  <c r="D106" a="1"/>
  <c r="D106" s="1"/>
  <c r="C106" a="1"/>
  <c r="C106" s="1"/>
  <c r="B106" a="1"/>
  <c r="B106" s="1"/>
  <c r="F105" a="1"/>
  <c r="F105" s="1"/>
  <c r="E105" a="1"/>
  <c r="E105" s="1"/>
  <c r="D105" a="1"/>
  <c r="D105" s="1"/>
  <c r="C105" a="1"/>
  <c r="C105" s="1"/>
  <c r="B105" a="1"/>
  <c r="B105" s="1"/>
  <c r="F104" a="1"/>
  <c r="F104" s="1"/>
  <c r="F103" s="1"/>
  <c r="E104" a="1"/>
  <c r="E104" s="1"/>
  <c r="E103" s="1"/>
  <c r="D104" a="1"/>
  <c r="D104" s="1"/>
  <c r="D103" s="1"/>
  <c r="C104" a="1"/>
  <c r="C104" s="1"/>
  <c r="C103" s="1"/>
  <c r="B104" a="1"/>
  <c r="B104" s="1"/>
  <c r="B103" s="1"/>
  <c r="F102" a="1"/>
  <c r="F102" s="1"/>
  <c r="E102" a="1"/>
  <c r="E102" s="1"/>
  <c r="D102" a="1"/>
  <c r="D102" s="1"/>
  <c r="C102" a="1"/>
  <c r="C102" s="1"/>
  <c r="B102" a="1"/>
  <c r="B102" s="1"/>
  <c r="F101" a="1"/>
  <c r="F101" s="1"/>
  <c r="E101" a="1"/>
  <c r="E101" s="1"/>
  <c r="D101" a="1"/>
  <c r="D101" s="1"/>
  <c r="C101" a="1"/>
  <c r="C101" s="1"/>
  <c r="B101" a="1"/>
  <c r="B101" s="1"/>
  <c r="F100" a="1"/>
  <c r="F100" s="1"/>
  <c r="F99" s="1"/>
  <c r="E100" a="1"/>
  <c r="E100" s="1"/>
  <c r="E99" s="1"/>
  <c r="D100" a="1"/>
  <c r="D100" s="1"/>
  <c r="D99" s="1"/>
  <c r="C100" a="1"/>
  <c r="C100" s="1"/>
  <c r="C99" s="1"/>
  <c r="B100" a="1"/>
  <c r="B100" s="1"/>
  <c r="B99" s="1"/>
  <c r="F98" a="1"/>
  <c r="F98" s="1"/>
  <c r="E98" a="1"/>
  <c r="E98" s="1"/>
  <c r="D98" a="1"/>
  <c r="D98" s="1"/>
  <c r="C98" a="1"/>
  <c r="C98" s="1"/>
  <c r="B98" a="1"/>
  <c r="B98" s="1"/>
  <c r="F97" a="1"/>
  <c r="F97" s="1"/>
  <c r="E97" a="1"/>
  <c r="E97" s="1"/>
  <c r="D97" a="1"/>
  <c r="D97" s="1"/>
  <c r="C97" a="1"/>
  <c r="C97" s="1"/>
  <c r="B97" a="1"/>
  <c r="B97" s="1"/>
  <c r="F96" a="1"/>
  <c r="F96" s="1"/>
  <c r="E96" a="1"/>
  <c r="E96" s="1"/>
  <c r="D96" a="1"/>
  <c r="D96" s="1"/>
  <c r="C96" a="1"/>
  <c r="C96" s="1"/>
  <c r="B96" a="1"/>
  <c r="B96" s="1"/>
  <c r="F95" a="1"/>
  <c r="F95" s="1"/>
  <c r="E95" a="1"/>
  <c r="E95" s="1"/>
  <c r="D95" a="1"/>
  <c r="D95" s="1"/>
  <c r="C95" a="1"/>
  <c r="C95" s="1"/>
  <c r="B95" a="1"/>
  <c r="B95" s="1"/>
  <c r="F94" a="1"/>
  <c r="F94" s="1"/>
  <c r="F93" s="1"/>
  <c r="E94" a="1"/>
  <c r="E94" s="1"/>
  <c r="E93" s="1"/>
  <c r="D94" a="1"/>
  <c r="D94" s="1"/>
  <c r="D93" s="1"/>
  <c r="C94" a="1"/>
  <c r="C94" s="1"/>
  <c r="C93" s="1"/>
  <c r="B94" a="1"/>
  <c r="B94" s="1"/>
  <c r="B93" s="1"/>
  <c r="F92" a="1"/>
  <c r="F92" s="1"/>
  <c r="E92" a="1"/>
  <c r="E92" s="1"/>
  <c r="D92" a="1"/>
  <c r="D92" s="1"/>
  <c r="C92" a="1"/>
  <c r="C92" s="1"/>
  <c r="B92" a="1"/>
  <c r="B92" s="1"/>
  <c r="F91" a="1"/>
  <c r="F91" s="1"/>
  <c r="E91" a="1"/>
  <c r="E91" s="1"/>
  <c r="D91" a="1"/>
  <c r="D91" s="1"/>
  <c r="C91" a="1"/>
  <c r="C91" s="1"/>
  <c r="B91" a="1"/>
  <c r="B91" s="1"/>
  <c r="F90" a="1"/>
  <c r="F90" s="1"/>
  <c r="F89" s="1"/>
  <c r="E90" a="1"/>
  <c r="E90" s="1"/>
  <c r="E89" s="1"/>
  <c r="D90" a="1"/>
  <c r="D90" s="1"/>
  <c r="D89" s="1"/>
  <c r="C90" a="1"/>
  <c r="C90" s="1"/>
  <c r="C89" s="1"/>
  <c r="B90" a="1"/>
  <c r="B90" s="1"/>
  <c r="B89" s="1"/>
  <c r="BW149" i="2"/>
  <c r="CB149" s="1"/>
  <c r="AN149"/>
  <c r="BX149" s="1"/>
  <c r="AK133"/>
  <c r="D109" i="3" l="1"/>
  <c r="F109"/>
  <c r="C109"/>
  <c r="E109"/>
  <c r="B109"/>
  <c r="CC149" i="2"/>
  <c r="CA149"/>
  <c r="BZ149"/>
  <c r="AF80" i="3"/>
  <c r="AE80"/>
  <c r="AD80"/>
  <c r="AC80"/>
  <c r="AB80"/>
  <c r="AA80"/>
  <c r="Z80"/>
  <c r="Y80"/>
  <c r="X80"/>
  <c r="W80"/>
  <c r="V80"/>
  <c r="U80"/>
  <c r="T80"/>
  <c r="S80"/>
  <c r="R80"/>
  <c r="Q80"/>
  <c r="P80"/>
  <c r="O80"/>
  <c r="N80"/>
  <c r="M80"/>
  <c r="L80"/>
  <c r="K80"/>
  <c r="K368" l="1"/>
  <c r="L368"/>
  <c r="M368"/>
  <c r="N368"/>
  <c r="O368"/>
  <c r="P368"/>
  <c r="Q368"/>
  <c r="R368"/>
  <c r="S368"/>
  <c r="T368"/>
  <c r="U368"/>
  <c r="V368"/>
  <c r="W368"/>
  <c r="X368"/>
  <c r="Y368"/>
  <c r="Z368"/>
  <c r="AA368"/>
  <c r="AB368"/>
  <c r="AC368"/>
  <c r="AD368"/>
  <c r="AE368"/>
  <c r="AF368"/>
  <c r="J140"/>
  <c r="K147"/>
  <c r="K149" s="1"/>
  <c r="L147"/>
  <c r="L149" s="1"/>
  <c r="M147"/>
  <c r="M149" s="1"/>
  <c r="N147"/>
  <c r="N149" s="1"/>
  <c r="O147"/>
  <c r="O149" s="1"/>
  <c r="P147"/>
  <c r="P149" s="1"/>
  <c r="Q147"/>
  <c r="Q149" s="1"/>
  <c r="R147"/>
  <c r="R149" s="1"/>
  <c r="S147"/>
  <c r="S149" s="1"/>
  <c r="T147"/>
  <c r="T149" s="1"/>
  <c r="U147"/>
  <c r="U149" s="1"/>
  <c r="V147"/>
  <c r="V149" s="1"/>
  <c r="W147"/>
  <c r="W149" s="1"/>
  <c r="X147"/>
  <c r="X149" s="1"/>
  <c r="Y147"/>
  <c r="Y149" s="1"/>
  <c r="Z147"/>
  <c r="Z149" s="1"/>
  <c r="AA147"/>
  <c r="AA149" s="1"/>
  <c r="AB147"/>
  <c r="AB149" s="1"/>
  <c r="AC147"/>
  <c r="AC149" s="1"/>
  <c r="AD147"/>
  <c r="AD149" s="1"/>
  <c r="AE147"/>
  <c r="AE149" s="1"/>
  <c r="AF147"/>
  <c r="AF149" s="1"/>
  <c r="AP16"/>
  <c r="AQ16"/>
  <c r="AR16"/>
  <c r="K14"/>
  <c r="L14"/>
  <c r="M14"/>
  <c r="N14"/>
  <c r="O14"/>
  <c r="P14"/>
  <c r="Q14"/>
  <c r="R14"/>
  <c r="S14"/>
  <c r="T14"/>
  <c r="U14"/>
  <c r="V14"/>
  <c r="W14"/>
  <c r="X14"/>
  <c r="Y14"/>
  <c r="Z14"/>
  <c r="AA14"/>
  <c r="AB14"/>
  <c r="AC14"/>
  <c r="AD14"/>
  <c r="AE14"/>
  <c r="AF14"/>
  <c r="K6"/>
  <c r="L6"/>
  <c r="M6"/>
  <c r="N6"/>
  <c r="O6"/>
  <c r="P6"/>
  <c r="Q6"/>
  <c r="R6"/>
  <c r="S6"/>
  <c r="T6"/>
  <c r="U6"/>
  <c r="V6"/>
  <c r="W6"/>
  <c r="X6"/>
  <c r="Y6"/>
  <c r="Z6"/>
  <c r="AA6"/>
  <c r="AB6"/>
  <c r="AC6"/>
  <c r="AD6"/>
  <c r="AE6"/>
  <c r="AF6"/>
  <c r="AL154" i="2"/>
  <c r="AM154"/>
  <c r="AO154"/>
  <c r="AP154"/>
  <c r="AR154"/>
  <c r="AS154"/>
  <c r="AU154"/>
  <c r="AV154"/>
  <c r="AX154"/>
  <c r="AY154"/>
  <c r="BA154"/>
  <c r="BB154"/>
  <c r="BD154"/>
  <c r="BE154"/>
  <c r="BG154"/>
  <c r="BH154"/>
  <c r="BJ154"/>
  <c r="BK154"/>
  <c r="BM154"/>
  <c r="BN154"/>
  <c r="BP154"/>
  <c r="BQ154"/>
  <c r="BS154"/>
  <c r="BT154"/>
  <c r="BV154"/>
  <c r="BY154"/>
  <c r="AL130"/>
  <c r="AM130"/>
  <c r="AO130"/>
  <c r="AP130"/>
  <c r="AR130"/>
  <c r="AS130"/>
  <c r="AU130"/>
  <c r="AV130"/>
  <c r="AX130"/>
  <c r="AY130"/>
  <c r="BA130"/>
  <c r="BB130"/>
  <c r="BD130"/>
  <c r="BE130"/>
  <c r="BG130"/>
  <c r="BH130"/>
  <c r="BJ130"/>
  <c r="BK130"/>
  <c r="BM130"/>
  <c r="BN130"/>
  <c r="BP130"/>
  <c r="BQ130"/>
  <c r="BS130"/>
  <c r="BT130"/>
  <c r="BV130"/>
  <c r="BY130"/>
  <c r="AL106"/>
  <c r="AM106"/>
  <c r="AO106"/>
  <c r="AP106"/>
  <c r="AR106"/>
  <c r="AS106"/>
  <c r="AU106"/>
  <c r="AV106"/>
  <c r="AX106"/>
  <c r="AY106"/>
  <c r="BA106"/>
  <c r="BB106"/>
  <c r="BD106"/>
  <c r="BE106"/>
  <c r="BG106"/>
  <c r="BH106"/>
  <c r="BJ106"/>
  <c r="BK106"/>
  <c r="BM106"/>
  <c r="BN106"/>
  <c r="BP106"/>
  <c r="BQ106"/>
  <c r="BS106"/>
  <c r="BT106"/>
  <c r="BV106"/>
  <c r="BY106"/>
  <c r="AL102"/>
  <c r="AM102"/>
  <c r="AO102"/>
  <c r="AP102"/>
  <c r="AR102"/>
  <c r="AS102"/>
  <c r="AU102"/>
  <c r="AV102"/>
  <c r="AX102"/>
  <c r="AY102"/>
  <c r="BA102"/>
  <c r="BB102"/>
  <c r="BD102"/>
  <c r="BE102"/>
  <c r="BG102"/>
  <c r="BH102"/>
  <c r="BJ102"/>
  <c r="BK102"/>
  <c r="BM102"/>
  <c r="BN102"/>
  <c r="BP102"/>
  <c r="BQ102"/>
  <c r="BS102"/>
  <c r="BT102"/>
  <c r="BV102"/>
  <c r="BY102"/>
  <c r="AL92"/>
  <c r="AM92"/>
  <c r="AO92"/>
  <c r="AP92"/>
  <c r="AR92"/>
  <c r="AS92"/>
  <c r="AU92"/>
  <c r="AV92"/>
  <c r="AX92"/>
  <c r="AY92"/>
  <c r="BA92"/>
  <c r="BB92"/>
  <c r="BD92"/>
  <c r="BE92"/>
  <c r="BG92"/>
  <c r="BH92"/>
  <c r="BJ92"/>
  <c r="BK92"/>
  <c r="BM92"/>
  <c r="BN92"/>
  <c r="BP92"/>
  <c r="BQ92"/>
  <c r="BS92"/>
  <c r="BT92"/>
  <c r="BV92"/>
  <c r="BY92"/>
  <c r="AO68"/>
  <c r="AP68"/>
  <c r="AR68"/>
  <c r="AS68"/>
  <c r="AU68"/>
  <c r="AV68"/>
  <c r="AX68"/>
  <c r="AY68"/>
  <c r="BA68"/>
  <c r="BB68"/>
  <c r="BD68"/>
  <c r="BE68"/>
  <c r="BG68"/>
  <c r="BH68"/>
  <c r="BJ68"/>
  <c r="BK68"/>
  <c r="BM68"/>
  <c r="BN68"/>
  <c r="BP68"/>
  <c r="BQ68"/>
  <c r="BS68"/>
  <c r="BT68"/>
  <c r="BV68"/>
  <c r="BY68"/>
  <c r="AL68"/>
  <c r="AM68"/>
  <c r="AL53"/>
  <c r="AM53"/>
  <c r="AO53"/>
  <c r="AP53"/>
  <c r="AR53"/>
  <c r="AS53"/>
  <c r="AU53"/>
  <c r="AV53"/>
  <c r="AX53"/>
  <c r="AY53"/>
  <c r="BA53"/>
  <c r="BB53"/>
  <c r="BD53"/>
  <c r="BE53"/>
  <c r="BG53"/>
  <c r="BH53"/>
  <c r="BJ53"/>
  <c r="BK53"/>
  <c r="BM53"/>
  <c r="BN53"/>
  <c r="BP53"/>
  <c r="BQ53"/>
  <c r="BS53"/>
  <c r="BT53"/>
  <c r="BV53"/>
  <c r="BY53"/>
  <c r="BL11"/>
  <c r="BW11"/>
  <c r="BW12"/>
  <c r="CB12" s="1"/>
  <c r="BW13"/>
  <c r="CB13" s="1"/>
  <c r="BW17"/>
  <c r="BW18"/>
  <c r="BZ18" s="1"/>
  <c r="BW19"/>
  <c r="BW20"/>
  <c r="CB20" s="1"/>
  <c r="BW21"/>
  <c r="CB21" s="1"/>
  <c r="BW22"/>
  <c r="BW23"/>
  <c r="CB23" s="1"/>
  <c r="BW24"/>
  <c r="BW25"/>
  <c r="BW26"/>
  <c r="BZ26" s="1"/>
  <c r="BW27"/>
  <c r="CB27" s="1"/>
  <c r="BW28"/>
  <c r="CB28" s="1"/>
  <c r="BW29"/>
  <c r="BZ29" s="1"/>
  <c r="BW30"/>
  <c r="CB30" s="1"/>
  <c r="BW31"/>
  <c r="CB31" s="1"/>
  <c r="BW32"/>
  <c r="BZ32" s="1"/>
  <c r="BW33"/>
  <c r="CB33" s="1"/>
  <c r="BW34"/>
  <c r="BZ34" s="1"/>
  <c r="BW35"/>
  <c r="BW36"/>
  <c r="BW37"/>
  <c r="BZ37" s="1"/>
  <c r="BW38"/>
  <c r="CB38" s="1"/>
  <c r="BW39"/>
  <c r="CB39" s="1"/>
  <c r="BW40"/>
  <c r="BZ40" s="1"/>
  <c r="BW41"/>
  <c r="CB41" s="1"/>
  <c r="BW42"/>
  <c r="CB42" s="1"/>
  <c r="BW43"/>
  <c r="BW44"/>
  <c r="BZ44" s="1"/>
  <c r="BW45"/>
  <c r="BW49"/>
  <c r="CB49" s="1"/>
  <c r="BW50"/>
  <c r="CB50" s="1"/>
  <c r="BW51"/>
  <c r="BZ51" s="1"/>
  <c r="BW52"/>
  <c r="BW56"/>
  <c r="BZ56" s="1"/>
  <c r="BW57"/>
  <c r="CB57" s="1"/>
  <c r="BW58"/>
  <c r="BW59"/>
  <c r="BZ59" s="1"/>
  <c r="BW60"/>
  <c r="BW61"/>
  <c r="BW62"/>
  <c r="BW63"/>
  <c r="CB63" s="1"/>
  <c r="BW64"/>
  <c r="CB64" s="1"/>
  <c r="BW65"/>
  <c r="CB65" s="1"/>
  <c r="BW66"/>
  <c r="BZ66" s="1"/>
  <c r="BW67"/>
  <c r="CB67" s="1"/>
  <c r="BW71"/>
  <c r="CB71" s="1"/>
  <c r="BW72"/>
  <c r="BW73"/>
  <c r="BZ73" s="1"/>
  <c r="BW74"/>
  <c r="CB74" s="1"/>
  <c r="BW75"/>
  <c r="CB75" s="1"/>
  <c r="BW76"/>
  <c r="CB76" s="1"/>
  <c r="BW77"/>
  <c r="BW78"/>
  <c r="BW79"/>
  <c r="BW80"/>
  <c r="BW81"/>
  <c r="BZ81" s="1"/>
  <c r="BW82"/>
  <c r="CB82" s="1"/>
  <c r="BW83"/>
  <c r="BW84"/>
  <c r="CB84" s="1"/>
  <c r="BW85"/>
  <c r="BZ85" s="1"/>
  <c r="BW86"/>
  <c r="CB86" s="1"/>
  <c r="BW87"/>
  <c r="CB87" s="1"/>
  <c r="BW88"/>
  <c r="CB88" s="1"/>
  <c r="BW89"/>
  <c r="BZ89" s="1"/>
  <c r="BW90"/>
  <c r="BW91"/>
  <c r="CB91" s="1"/>
  <c r="BW95"/>
  <c r="CB95" s="1"/>
  <c r="BW96"/>
  <c r="BW97"/>
  <c r="CB97" s="1"/>
  <c r="BW98"/>
  <c r="BW99"/>
  <c r="BW100"/>
  <c r="BW101"/>
  <c r="CB101" s="1"/>
  <c r="BW105"/>
  <c r="BW109"/>
  <c r="BZ109" s="1"/>
  <c r="BW114"/>
  <c r="BW115"/>
  <c r="CB115" s="1"/>
  <c r="BW118"/>
  <c r="BW119"/>
  <c r="CB119" s="1"/>
  <c r="BW120"/>
  <c r="BW121"/>
  <c r="CB121" s="1"/>
  <c r="BW122"/>
  <c r="BW123"/>
  <c r="CB123" s="1"/>
  <c r="BW124"/>
  <c r="BW125"/>
  <c r="CB125" s="1"/>
  <c r="BW126"/>
  <c r="BW127"/>
  <c r="CB127" s="1"/>
  <c r="BW128"/>
  <c r="BW112"/>
  <c r="CB112" s="1"/>
  <c r="BW133"/>
  <c r="BW134"/>
  <c r="BW135"/>
  <c r="BW136"/>
  <c r="CB136" s="1"/>
  <c r="BW137"/>
  <c r="BW140"/>
  <c r="CB140" s="1"/>
  <c r="BW141"/>
  <c r="BZ141" s="1"/>
  <c r="BW142"/>
  <c r="CB142" s="1"/>
  <c r="BW148"/>
  <c r="BW146"/>
  <c r="CB146" s="1"/>
  <c r="BW143"/>
  <c r="BZ143" s="1"/>
  <c r="BW145"/>
  <c r="CB145" s="1"/>
  <c r="BW138"/>
  <c r="BW144"/>
  <c r="CB144" s="1"/>
  <c r="BW150"/>
  <c r="BW151"/>
  <c r="CB151" s="1"/>
  <c r="BW152"/>
  <c r="BW153"/>
  <c r="BW147"/>
  <c r="BZ147" s="1"/>
  <c r="BW139"/>
  <c r="CB139" s="1"/>
  <c r="BW7"/>
  <c r="BW8" s="1"/>
  <c r="BU11"/>
  <c r="BU12"/>
  <c r="BU13"/>
  <c r="BU17"/>
  <c r="BU18"/>
  <c r="BU19"/>
  <c r="BU20"/>
  <c r="BU21"/>
  <c r="BU22"/>
  <c r="BU23"/>
  <c r="BU24"/>
  <c r="BU25"/>
  <c r="BU26"/>
  <c r="BU27"/>
  <c r="BU28"/>
  <c r="BU29"/>
  <c r="BU30"/>
  <c r="BU31"/>
  <c r="BU32"/>
  <c r="BU33"/>
  <c r="BU34"/>
  <c r="BU35"/>
  <c r="BU36"/>
  <c r="BU37"/>
  <c r="BU38"/>
  <c r="BU39"/>
  <c r="BU40"/>
  <c r="BU41"/>
  <c r="BU42"/>
  <c r="BU43"/>
  <c r="BU44"/>
  <c r="BU45"/>
  <c r="BU49"/>
  <c r="BU50"/>
  <c r="BU51"/>
  <c r="BU52"/>
  <c r="BU56"/>
  <c r="BU57"/>
  <c r="BU58"/>
  <c r="BU59"/>
  <c r="BU60"/>
  <c r="BU61"/>
  <c r="BU62"/>
  <c r="BU63"/>
  <c r="BU64"/>
  <c r="BU65"/>
  <c r="BU66"/>
  <c r="BU67"/>
  <c r="BU71"/>
  <c r="BU72"/>
  <c r="BU73"/>
  <c r="BU74"/>
  <c r="BU75"/>
  <c r="BU76"/>
  <c r="BU77"/>
  <c r="BU78"/>
  <c r="BU79"/>
  <c r="BU80"/>
  <c r="BU81"/>
  <c r="BU82"/>
  <c r="BU83"/>
  <c r="BU84"/>
  <c r="BU85"/>
  <c r="BU86"/>
  <c r="BU87"/>
  <c r="BU88"/>
  <c r="BU89"/>
  <c r="BU90"/>
  <c r="BU91"/>
  <c r="BU93"/>
  <c r="BU95"/>
  <c r="BU96"/>
  <c r="BU97"/>
  <c r="BU98"/>
  <c r="BU99"/>
  <c r="BU100"/>
  <c r="BU101"/>
  <c r="BU105"/>
  <c r="BU106" s="1"/>
  <c r="BU109"/>
  <c r="BU114"/>
  <c r="BU115"/>
  <c r="BU118"/>
  <c r="BU119"/>
  <c r="BU120"/>
  <c r="BU121"/>
  <c r="BU122"/>
  <c r="BU123"/>
  <c r="BU124"/>
  <c r="BU125"/>
  <c r="BU126"/>
  <c r="BU127"/>
  <c r="BU128"/>
  <c r="BU112"/>
  <c r="BU133"/>
  <c r="BU134"/>
  <c r="BU135"/>
  <c r="BU136"/>
  <c r="BU137"/>
  <c r="BU140"/>
  <c r="BU141"/>
  <c r="BU142"/>
  <c r="BU148"/>
  <c r="BU146"/>
  <c r="BU143"/>
  <c r="BU145"/>
  <c r="BU138"/>
  <c r="BU144"/>
  <c r="BU150"/>
  <c r="BU151"/>
  <c r="BU152"/>
  <c r="BU153"/>
  <c r="BU147"/>
  <c r="BU139"/>
  <c r="BU7"/>
  <c r="BU8" s="1"/>
  <c r="BR11"/>
  <c r="BR12"/>
  <c r="BR13"/>
  <c r="BR17"/>
  <c r="BR18"/>
  <c r="BR19"/>
  <c r="BR20"/>
  <c r="BR21"/>
  <c r="BR22"/>
  <c r="BR23"/>
  <c r="BR24"/>
  <c r="BR25"/>
  <c r="BR26"/>
  <c r="BR27"/>
  <c r="BR28"/>
  <c r="BR29"/>
  <c r="BR30"/>
  <c r="BR31"/>
  <c r="BR32"/>
  <c r="BR33"/>
  <c r="BR34"/>
  <c r="BR35"/>
  <c r="BR36"/>
  <c r="BR37"/>
  <c r="BR38"/>
  <c r="BR39"/>
  <c r="BR40"/>
  <c r="BR41"/>
  <c r="BR42"/>
  <c r="BR43"/>
  <c r="BR44"/>
  <c r="BR45"/>
  <c r="BR49"/>
  <c r="BR50"/>
  <c r="BR51"/>
  <c r="BR52"/>
  <c r="BR56"/>
  <c r="BR57"/>
  <c r="BR58"/>
  <c r="BR59"/>
  <c r="BR60"/>
  <c r="BR61"/>
  <c r="BR62"/>
  <c r="BR63"/>
  <c r="BR64"/>
  <c r="BR65"/>
  <c r="BR66"/>
  <c r="BR67"/>
  <c r="BR71"/>
  <c r="BR72"/>
  <c r="BR73"/>
  <c r="BR74"/>
  <c r="BR75"/>
  <c r="BR76"/>
  <c r="BR77"/>
  <c r="BR78"/>
  <c r="BR79"/>
  <c r="BR80"/>
  <c r="BR81"/>
  <c r="BR82"/>
  <c r="BR83"/>
  <c r="BR84"/>
  <c r="BR85"/>
  <c r="BR86"/>
  <c r="BR87"/>
  <c r="BR88"/>
  <c r="BR89"/>
  <c r="BR90"/>
  <c r="BR91"/>
  <c r="BR93"/>
  <c r="BR95"/>
  <c r="BR96"/>
  <c r="BR97"/>
  <c r="BR98"/>
  <c r="BR99"/>
  <c r="BR100"/>
  <c r="BR101"/>
  <c r="BR105"/>
  <c r="BR106" s="1"/>
  <c r="BR109"/>
  <c r="BR114"/>
  <c r="BR115"/>
  <c r="BR118"/>
  <c r="BR119"/>
  <c r="BR120"/>
  <c r="BR121"/>
  <c r="BR122"/>
  <c r="BR123"/>
  <c r="BR124"/>
  <c r="BR125"/>
  <c r="BR126"/>
  <c r="BR127"/>
  <c r="BR128"/>
  <c r="BR112"/>
  <c r="BR133"/>
  <c r="BR134"/>
  <c r="BR135"/>
  <c r="BR136"/>
  <c r="BR137"/>
  <c r="BR140"/>
  <c r="BR141"/>
  <c r="BR142"/>
  <c r="BR148"/>
  <c r="BR146"/>
  <c r="BR143"/>
  <c r="BR145"/>
  <c r="BR138"/>
  <c r="BR144"/>
  <c r="BR150"/>
  <c r="BR151"/>
  <c r="BR152"/>
  <c r="BR153"/>
  <c r="BR147"/>
  <c r="BR139"/>
  <c r="BR7"/>
  <c r="BR8" s="1"/>
  <c r="BO11"/>
  <c r="BO12"/>
  <c r="BO13"/>
  <c r="BO17"/>
  <c r="BO18"/>
  <c r="BO19"/>
  <c r="BO20"/>
  <c r="BO21"/>
  <c r="BO22"/>
  <c r="BO23"/>
  <c r="BO24"/>
  <c r="BO25"/>
  <c r="BO26"/>
  <c r="BO27"/>
  <c r="BO28"/>
  <c r="BO29"/>
  <c r="BO30"/>
  <c r="BO31"/>
  <c r="BO32"/>
  <c r="BO33"/>
  <c r="BO34"/>
  <c r="BO35"/>
  <c r="BO36"/>
  <c r="BO37"/>
  <c r="BO38"/>
  <c r="BO39"/>
  <c r="BO40"/>
  <c r="BO41"/>
  <c r="BO42"/>
  <c r="BO43"/>
  <c r="BO44"/>
  <c r="BO45"/>
  <c r="BO49"/>
  <c r="BO50"/>
  <c r="BO51"/>
  <c r="BO52"/>
  <c r="BO56"/>
  <c r="BO57"/>
  <c r="BO58"/>
  <c r="BO59"/>
  <c r="BO60"/>
  <c r="BO61"/>
  <c r="BO62"/>
  <c r="BO63"/>
  <c r="BO64"/>
  <c r="BO65"/>
  <c r="BO66"/>
  <c r="BO67"/>
  <c r="BO71"/>
  <c r="BO72"/>
  <c r="BO73"/>
  <c r="BO74"/>
  <c r="BO75"/>
  <c r="BO76"/>
  <c r="BO77"/>
  <c r="BO78"/>
  <c r="BO79"/>
  <c r="BO80"/>
  <c r="BO81"/>
  <c r="BO82"/>
  <c r="BO83"/>
  <c r="BO84"/>
  <c r="BO85"/>
  <c r="BO86"/>
  <c r="BO87"/>
  <c r="BO88"/>
  <c r="BO89"/>
  <c r="BO90"/>
  <c r="BO91"/>
  <c r="BO93"/>
  <c r="BO95"/>
  <c r="BO96"/>
  <c r="BO97"/>
  <c r="BO98"/>
  <c r="BO99"/>
  <c r="BO100"/>
  <c r="BO101"/>
  <c r="BO105"/>
  <c r="BO106" s="1"/>
  <c r="BO109"/>
  <c r="BO114"/>
  <c r="BO115"/>
  <c r="BO118"/>
  <c r="BO119"/>
  <c r="BO120"/>
  <c r="BO121"/>
  <c r="BO122"/>
  <c r="BO123"/>
  <c r="BO124"/>
  <c r="BO125"/>
  <c r="BO126"/>
  <c r="BO127"/>
  <c r="BO128"/>
  <c r="BO112"/>
  <c r="BO133"/>
  <c r="BO134"/>
  <c r="BO135"/>
  <c r="BO136"/>
  <c r="BO137"/>
  <c r="BO140"/>
  <c r="BO141"/>
  <c r="BO142"/>
  <c r="BO148"/>
  <c r="BO146"/>
  <c r="BO143"/>
  <c r="BO145"/>
  <c r="BO138"/>
  <c r="BO144"/>
  <c r="BO150"/>
  <c r="BO151"/>
  <c r="BO152"/>
  <c r="BO153"/>
  <c r="BO147"/>
  <c r="BO139"/>
  <c r="BO7"/>
  <c r="BO8" s="1"/>
  <c r="BL12"/>
  <c r="BL13"/>
  <c r="BL17"/>
  <c r="BL18"/>
  <c r="BL19"/>
  <c r="BL20"/>
  <c r="BL21"/>
  <c r="BL22"/>
  <c r="BL23"/>
  <c r="BL24"/>
  <c r="BL25"/>
  <c r="BL26"/>
  <c r="BL27"/>
  <c r="BL28"/>
  <c r="BL29"/>
  <c r="BL30"/>
  <c r="BL31"/>
  <c r="BL32"/>
  <c r="BL33"/>
  <c r="BL34"/>
  <c r="BL35"/>
  <c r="BL36"/>
  <c r="BL37"/>
  <c r="BL38"/>
  <c r="BL39"/>
  <c r="BL40"/>
  <c r="BL41"/>
  <c r="BL42"/>
  <c r="BL43"/>
  <c r="BL44"/>
  <c r="BL45"/>
  <c r="BL49"/>
  <c r="BL50"/>
  <c r="BL51"/>
  <c r="BL52"/>
  <c r="BL56"/>
  <c r="BL57"/>
  <c r="BL58"/>
  <c r="BL59"/>
  <c r="BL60"/>
  <c r="BL61"/>
  <c r="BL62"/>
  <c r="BL63"/>
  <c r="BL64"/>
  <c r="BL65"/>
  <c r="BL66"/>
  <c r="BL67"/>
  <c r="BL71"/>
  <c r="BL72"/>
  <c r="BL73"/>
  <c r="BL74"/>
  <c r="BL75"/>
  <c r="BL76"/>
  <c r="BL77"/>
  <c r="BL78"/>
  <c r="BL79"/>
  <c r="BL80"/>
  <c r="BL81"/>
  <c r="BL82"/>
  <c r="BL83"/>
  <c r="BL84"/>
  <c r="BL85"/>
  <c r="BL86"/>
  <c r="BL87"/>
  <c r="BL88"/>
  <c r="BL89"/>
  <c r="BL90"/>
  <c r="BL91"/>
  <c r="BL93"/>
  <c r="BL95"/>
  <c r="BL96"/>
  <c r="BL97"/>
  <c r="BL98"/>
  <c r="BL99"/>
  <c r="BL100"/>
  <c r="BL101"/>
  <c r="BL105"/>
  <c r="BL106" s="1"/>
  <c r="BL109"/>
  <c r="BL114"/>
  <c r="BL115"/>
  <c r="BL118"/>
  <c r="BL119"/>
  <c r="BL120"/>
  <c r="BL121"/>
  <c r="BL122"/>
  <c r="BL123"/>
  <c r="BL124"/>
  <c r="BL125"/>
  <c r="BL126"/>
  <c r="BL127"/>
  <c r="BL128"/>
  <c r="BL112"/>
  <c r="BL133"/>
  <c r="BL134"/>
  <c r="BL135"/>
  <c r="BL136"/>
  <c r="BL137"/>
  <c r="BL140"/>
  <c r="BL141"/>
  <c r="BL142"/>
  <c r="BL148"/>
  <c r="BL146"/>
  <c r="BL143"/>
  <c r="BL145"/>
  <c r="BL138"/>
  <c r="BL144"/>
  <c r="BL150"/>
  <c r="BL151"/>
  <c r="BL152"/>
  <c r="BL153"/>
  <c r="BL147"/>
  <c r="BL139"/>
  <c r="BL7"/>
  <c r="BL8" s="1"/>
  <c r="BI11"/>
  <c r="BI12"/>
  <c r="BI13"/>
  <c r="BI17"/>
  <c r="BI18"/>
  <c r="BI19"/>
  <c r="BI20"/>
  <c r="BI21"/>
  <c r="BI22"/>
  <c r="BI23"/>
  <c r="BI24"/>
  <c r="BI25"/>
  <c r="BI26"/>
  <c r="BI27"/>
  <c r="BI28"/>
  <c r="BI29"/>
  <c r="BI30"/>
  <c r="BI31"/>
  <c r="BI32"/>
  <c r="BI33"/>
  <c r="BI34"/>
  <c r="BI35"/>
  <c r="BI36"/>
  <c r="BI37"/>
  <c r="BI38"/>
  <c r="BI39"/>
  <c r="BI40"/>
  <c r="BI41"/>
  <c r="BI42"/>
  <c r="BI43"/>
  <c r="BI44"/>
  <c r="BI45"/>
  <c r="BI49"/>
  <c r="BI50"/>
  <c r="BI51"/>
  <c r="BI52"/>
  <c r="BI56"/>
  <c r="BI57"/>
  <c r="BI58"/>
  <c r="BI59"/>
  <c r="BI60"/>
  <c r="BI61"/>
  <c r="BI62"/>
  <c r="BI63"/>
  <c r="BI64"/>
  <c r="BI65"/>
  <c r="BI66"/>
  <c r="BI67"/>
  <c r="BI71"/>
  <c r="BI72"/>
  <c r="BI73"/>
  <c r="BI74"/>
  <c r="BI75"/>
  <c r="BI76"/>
  <c r="BI77"/>
  <c r="BI78"/>
  <c r="BI79"/>
  <c r="BI80"/>
  <c r="BI81"/>
  <c r="BI82"/>
  <c r="BI83"/>
  <c r="BI84"/>
  <c r="BI85"/>
  <c r="BI86"/>
  <c r="BI87"/>
  <c r="BI88"/>
  <c r="BI89"/>
  <c r="BI90"/>
  <c r="BI91"/>
  <c r="BI93"/>
  <c r="BI95"/>
  <c r="BI96"/>
  <c r="BI97"/>
  <c r="BI98"/>
  <c r="BI99"/>
  <c r="BI100"/>
  <c r="BI101"/>
  <c r="BI105"/>
  <c r="BI106" s="1"/>
  <c r="BI109"/>
  <c r="BI114"/>
  <c r="BI115"/>
  <c r="BI118"/>
  <c r="BI119"/>
  <c r="BI120"/>
  <c r="BI121"/>
  <c r="BI122"/>
  <c r="BI123"/>
  <c r="BI124"/>
  <c r="BI125"/>
  <c r="BI126"/>
  <c r="BI127"/>
  <c r="BI128"/>
  <c r="BI112"/>
  <c r="BI133"/>
  <c r="BI134"/>
  <c r="BI135"/>
  <c r="BI136"/>
  <c r="BI137"/>
  <c r="BI140"/>
  <c r="BI141"/>
  <c r="BI142"/>
  <c r="BI148"/>
  <c r="BI146"/>
  <c r="BI143"/>
  <c r="BI145"/>
  <c r="BI138"/>
  <c r="BI144"/>
  <c r="BI150"/>
  <c r="BI151"/>
  <c r="BI152"/>
  <c r="BI153"/>
  <c r="BI147"/>
  <c r="BI139"/>
  <c r="BI7"/>
  <c r="BI8" s="1"/>
  <c r="BF11"/>
  <c r="BF12"/>
  <c r="BF13"/>
  <c r="BF17"/>
  <c r="BF18"/>
  <c r="BF19"/>
  <c r="BF20"/>
  <c r="BF21"/>
  <c r="BF22"/>
  <c r="BF23"/>
  <c r="BF24"/>
  <c r="BF25"/>
  <c r="BF26"/>
  <c r="BF27"/>
  <c r="BF28"/>
  <c r="BF29"/>
  <c r="BF30"/>
  <c r="BF31"/>
  <c r="BF32"/>
  <c r="BF33"/>
  <c r="BF34"/>
  <c r="BF35"/>
  <c r="BF36"/>
  <c r="BF37"/>
  <c r="BF38"/>
  <c r="BF39"/>
  <c r="BF40"/>
  <c r="BF41"/>
  <c r="BF42"/>
  <c r="BF43"/>
  <c r="BF44"/>
  <c r="BF45"/>
  <c r="BF49"/>
  <c r="BF50"/>
  <c r="BF51"/>
  <c r="BF52"/>
  <c r="BF56"/>
  <c r="BF57"/>
  <c r="BF58"/>
  <c r="BF59"/>
  <c r="BF60"/>
  <c r="BF61"/>
  <c r="BF62"/>
  <c r="BF63"/>
  <c r="BF64"/>
  <c r="BF65"/>
  <c r="BF66"/>
  <c r="BF67"/>
  <c r="BF71"/>
  <c r="BF72"/>
  <c r="BF73"/>
  <c r="BF74"/>
  <c r="BF75"/>
  <c r="BF76"/>
  <c r="BF77"/>
  <c r="BF78"/>
  <c r="BF79"/>
  <c r="BF80"/>
  <c r="BF81"/>
  <c r="BF82"/>
  <c r="BF83"/>
  <c r="BF84"/>
  <c r="BF85"/>
  <c r="BF86"/>
  <c r="BF87"/>
  <c r="BF88"/>
  <c r="BF89"/>
  <c r="BF90"/>
  <c r="BF91"/>
  <c r="BF93"/>
  <c r="BF95"/>
  <c r="BF96"/>
  <c r="BF97"/>
  <c r="BF98"/>
  <c r="BF99"/>
  <c r="BF100"/>
  <c r="BF101"/>
  <c r="BF105"/>
  <c r="BF106" s="1"/>
  <c r="BF109"/>
  <c r="BF114"/>
  <c r="BF115"/>
  <c r="BF118"/>
  <c r="BF119"/>
  <c r="BF120"/>
  <c r="BF121"/>
  <c r="BF122"/>
  <c r="BF123"/>
  <c r="BF124"/>
  <c r="BF125"/>
  <c r="BF126"/>
  <c r="BF127"/>
  <c r="BF128"/>
  <c r="BF112"/>
  <c r="BF133"/>
  <c r="BF134"/>
  <c r="BF135"/>
  <c r="BF136"/>
  <c r="BF137"/>
  <c r="BF140"/>
  <c r="BF141"/>
  <c r="BF142"/>
  <c r="BF148"/>
  <c r="BF146"/>
  <c r="BF143"/>
  <c r="BF145"/>
  <c r="BF138"/>
  <c r="BF144"/>
  <c r="BF150"/>
  <c r="BF151"/>
  <c r="BF152"/>
  <c r="BF153"/>
  <c r="BF147"/>
  <c r="BF139"/>
  <c r="BF7"/>
  <c r="BF8" s="1"/>
  <c r="BC11"/>
  <c r="BC12"/>
  <c r="BC13"/>
  <c r="BC17"/>
  <c r="BC18"/>
  <c r="BC19"/>
  <c r="BC20"/>
  <c r="BC21"/>
  <c r="BC22"/>
  <c r="BC23"/>
  <c r="BC24"/>
  <c r="BC25"/>
  <c r="BC26"/>
  <c r="BC27"/>
  <c r="BC28"/>
  <c r="BC29"/>
  <c r="BC30"/>
  <c r="BC31"/>
  <c r="BC32"/>
  <c r="BC33"/>
  <c r="BC34"/>
  <c r="BC35"/>
  <c r="BC36"/>
  <c r="BC37"/>
  <c r="BC38"/>
  <c r="BC39"/>
  <c r="BC40"/>
  <c r="BC41"/>
  <c r="BC42"/>
  <c r="BC43"/>
  <c r="BC44"/>
  <c r="BC45"/>
  <c r="BC49"/>
  <c r="BC50"/>
  <c r="BC51"/>
  <c r="BC52"/>
  <c r="BC56"/>
  <c r="BC57"/>
  <c r="BC58"/>
  <c r="BC59"/>
  <c r="BC60"/>
  <c r="BC61"/>
  <c r="BC62"/>
  <c r="BC63"/>
  <c r="BC64"/>
  <c r="BC65"/>
  <c r="BC66"/>
  <c r="BC67"/>
  <c r="BC71"/>
  <c r="BC72"/>
  <c r="BC73"/>
  <c r="BC74"/>
  <c r="BC75"/>
  <c r="BC76"/>
  <c r="BC77"/>
  <c r="BC78"/>
  <c r="BC79"/>
  <c r="BC80"/>
  <c r="BC81"/>
  <c r="BC82"/>
  <c r="BC83"/>
  <c r="BC84"/>
  <c r="BC85"/>
  <c r="BC86"/>
  <c r="BC87"/>
  <c r="BC88"/>
  <c r="BC89"/>
  <c r="BC90"/>
  <c r="BC91"/>
  <c r="BC93"/>
  <c r="BC95"/>
  <c r="BC96"/>
  <c r="BC97"/>
  <c r="BC98"/>
  <c r="BC99"/>
  <c r="BC100"/>
  <c r="BC101"/>
  <c r="BC105"/>
  <c r="BC106" s="1"/>
  <c r="BC109"/>
  <c r="BC114"/>
  <c r="BC115"/>
  <c r="BC118"/>
  <c r="BC119"/>
  <c r="BC120"/>
  <c r="BC121"/>
  <c r="BC122"/>
  <c r="BC123"/>
  <c r="BC124"/>
  <c r="BC125"/>
  <c r="BC126"/>
  <c r="BC127"/>
  <c r="BC128"/>
  <c r="BC112"/>
  <c r="BC133"/>
  <c r="BC134"/>
  <c r="BC135"/>
  <c r="BC136"/>
  <c r="BC137"/>
  <c r="BC140"/>
  <c r="BC141"/>
  <c r="BC142"/>
  <c r="BC148"/>
  <c r="BC146"/>
  <c r="BC143"/>
  <c r="BC145"/>
  <c r="BC138"/>
  <c r="BC144"/>
  <c r="BC150"/>
  <c r="BC151"/>
  <c r="BC152"/>
  <c r="BC153"/>
  <c r="BC147"/>
  <c r="BC139"/>
  <c r="BC7"/>
  <c r="BC8" s="1"/>
  <c r="AZ11"/>
  <c r="AZ12"/>
  <c r="AZ13"/>
  <c r="AZ17"/>
  <c r="AZ18"/>
  <c r="AZ19"/>
  <c r="AZ20"/>
  <c r="AZ21"/>
  <c r="AZ22"/>
  <c r="AZ23"/>
  <c r="AZ24"/>
  <c r="AZ25"/>
  <c r="AZ26"/>
  <c r="AZ27"/>
  <c r="AZ28"/>
  <c r="AZ29"/>
  <c r="AZ30"/>
  <c r="AZ31"/>
  <c r="AZ32"/>
  <c r="AZ33"/>
  <c r="AZ34"/>
  <c r="AZ35"/>
  <c r="AZ36"/>
  <c r="AZ37"/>
  <c r="AZ38"/>
  <c r="AZ39"/>
  <c r="AZ40"/>
  <c r="AZ41"/>
  <c r="AZ42"/>
  <c r="AZ43"/>
  <c r="AZ44"/>
  <c r="AZ45"/>
  <c r="AZ49"/>
  <c r="AZ50"/>
  <c r="AZ51"/>
  <c r="AZ52"/>
  <c r="AZ56"/>
  <c r="AZ57"/>
  <c r="AZ58"/>
  <c r="AZ59"/>
  <c r="AZ60"/>
  <c r="AZ61"/>
  <c r="AZ62"/>
  <c r="AZ63"/>
  <c r="AZ64"/>
  <c r="AZ65"/>
  <c r="AZ66"/>
  <c r="AZ67"/>
  <c r="AZ71"/>
  <c r="AZ72"/>
  <c r="AZ73"/>
  <c r="AZ74"/>
  <c r="AZ75"/>
  <c r="AZ76"/>
  <c r="AZ77"/>
  <c r="AZ78"/>
  <c r="AZ79"/>
  <c r="AZ80"/>
  <c r="AZ81"/>
  <c r="AZ82"/>
  <c r="AZ83"/>
  <c r="AZ84"/>
  <c r="AZ85"/>
  <c r="AZ86"/>
  <c r="AZ87"/>
  <c r="AZ88"/>
  <c r="AZ89"/>
  <c r="AZ90"/>
  <c r="AZ91"/>
  <c r="AZ93"/>
  <c r="AZ95"/>
  <c r="AZ96"/>
  <c r="AZ97"/>
  <c r="AZ98"/>
  <c r="AZ99"/>
  <c r="AZ100"/>
  <c r="AZ101"/>
  <c r="AZ105"/>
  <c r="AZ106" s="1"/>
  <c r="AZ109"/>
  <c r="AZ114"/>
  <c r="AZ115"/>
  <c r="AZ118"/>
  <c r="AZ119"/>
  <c r="AZ120"/>
  <c r="AZ121"/>
  <c r="AZ122"/>
  <c r="AZ123"/>
  <c r="AZ124"/>
  <c r="AZ125"/>
  <c r="AZ126"/>
  <c r="AZ127"/>
  <c r="AZ128"/>
  <c r="AZ112"/>
  <c r="AZ133"/>
  <c r="AZ134"/>
  <c r="AZ135"/>
  <c r="AZ136"/>
  <c r="AZ137"/>
  <c r="AZ140"/>
  <c r="AZ141"/>
  <c r="AZ142"/>
  <c r="AZ148"/>
  <c r="AZ146"/>
  <c r="AZ143"/>
  <c r="AZ145"/>
  <c r="AZ138"/>
  <c r="AZ144"/>
  <c r="AZ150"/>
  <c r="AZ151"/>
  <c r="AZ152"/>
  <c r="AZ153"/>
  <c r="AZ147"/>
  <c r="AZ139"/>
  <c r="AZ7"/>
  <c r="AZ8" s="1"/>
  <c r="AW11"/>
  <c r="AW12"/>
  <c r="AW13"/>
  <c r="AW17"/>
  <c r="AW18"/>
  <c r="AW19"/>
  <c r="AW20"/>
  <c r="AW21"/>
  <c r="AW22"/>
  <c r="AW23"/>
  <c r="AW24"/>
  <c r="AW25"/>
  <c r="AW26"/>
  <c r="AW27"/>
  <c r="AW28"/>
  <c r="AW29"/>
  <c r="AW30"/>
  <c r="AW31"/>
  <c r="AW32"/>
  <c r="AW33"/>
  <c r="AW34"/>
  <c r="AW35"/>
  <c r="AW36"/>
  <c r="AW37"/>
  <c r="AW38"/>
  <c r="AW39"/>
  <c r="AW40"/>
  <c r="AW41"/>
  <c r="AW42"/>
  <c r="AW43"/>
  <c r="AW44"/>
  <c r="AW45"/>
  <c r="AW49"/>
  <c r="AW50"/>
  <c r="AW51"/>
  <c r="AW52"/>
  <c r="AW56"/>
  <c r="AW57"/>
  <c r="AW58"/>
  <c r="AW59"/>
  <c r="AW60"/>
  <c r="AW61"/>
  <c r="AW62"/>
  <c r="AW63"/>
  <c r="AW64"/>
  <c r="AW65"/>
  <c r="AW66"/>
  <c r="AW67"/>
  <c r="AW71"/>
  <c r="AW72"/>
  <c r="AW73"/>
  <c r="AW74"/>
  <c r="AW75"/>
  <c r="AW76"/>
  <c r="AW77"/>
  <c r="AW78"/>
  <c r="AW79"/>
  <c r="AW80"/>
  <c r="AW81"/>
  <c r="AW82"/>
  <c r="AW83"/>
  <c r="AW84"/>
  <c r="AW85"/>
  <c r="AW86"/>
  <c r="AW87"/>
  <c r="AW88"/>
  <c r="AW89"/>
  <c r="AW90"/>
  <c r="AW91"/>
  <c r="AW93"/>
  <c r="AW95"/>
  <c r="AW96"/>
  <c r="AW97"/>
  <c r="AW98"/>
  <c r="AW99"/>
  <c r="AW100"/>
  <c r="AW101"/>
  <c r="AW105"/>
  <c r="AW106" s="1"/>
  <c r="AW109"/>
  <c r="AW114"/>
  <c r="AW115"/>
  <c r="AW118"/>
  <c r="AW119"/>
  <c r="AW120"/>
  <c r="AW121"/>
  <c r="AW122"/>
  <c r="AW123"/>
  <c r="AW124"/>
  <c r="AW125"/>
  <c r="AW126"/>
  <c r="AW127"/>
  <c r="AW128"/>
  <c r="AW112"/>
  <c r="AW133"/>
  <c r="AW134"/>
  <c r="AW135"/>
  <c r="AW136"/>
  <c r="AW137"/>
  <c r="AW140"/>
  <c r="AW141"/>
  <c r="AW142"/>
  <c r="AW148"/>
  <c r="AW146"/>
  <c r="AW143"/>
  <c r="AW145"/>
  <c r="AW138"/>
  <c r="AW144"/>
  <c r="AW150"/>
  <c r="AW151"/>
  <c r="AW152"/>
  <c r="AW153"/>
  <c r="AW147"/>
  <c r="AW139"/>
  <c r="AW7"/>
  <c r="AW8" s="1"/>
  <c r="AT11"/>
  <c r="AT12"/>
  <c r="AT13"/>
  <c r="AT17"/>
  <c r="AT18"/>
  <c r="AT19"/>
  <c r="AT20"/>
  <c r="AT21"/>
  <c r="AT22"/>
  <c r="AT23"/>
  <c r="AT24"/>
  <c r="AT25"/>
  <c r="AT26"/>
  <c r="AT27"/>
  <c r="AT28"/>
  <c r="AT29"/>
  <c r="AT30"/>
  <c r="AT31"/>
  <c r="AT32"/>
  <c r="AT33"/>
  <c r="AT34"/>
  <c r="AT35"/>
  <c r="AT36"/>
  <c r="AT37"/>
  <c r="AT38"/>
  <c r="AT39"/>
  <c r="AT40"/>
  <c r="AT41"/>
  <c r="AT42"/>
  <c r="AT43"/>
  <c r="AT44"/>
  <c r="AT45"/>
  <c r="AT49"/>
  <c r="AT50"/>
  <c r="AT51"/>
  <c r="AT52"/>
  <c r="AT56"/>
  <c r="AT57"/>
  <c r="AT58"/>
  <c r="AT59"/>
  <c r="AT60"/>
  <c r="AT61"/>
  <c r="AT62"/>
  <c r="AT63"/>
  <c r="AT64"/>
  <c r="AT65"/>
  <c r="AT66"/>
  <c r="AT67"/>
  <c r="AT71"/>
  <c r="AT72"/>
  <c r="AT73"/>
  <c r="AT74"/>
  <c r="AT75"/>
  <c r="AT76"/>
  <c r="AT77"/>
  <c r="AT78"/>
  <c r="AT79"/>
  <c r="AT80"/>
  <c r="AT81"/>
  <c r="AT82"/>
  <c r="AT83"/>
  <c r="AT84"/>
  <c r="AT85"/>
  <c r="AT86"/>
  <c r="AT87"/>
  <c r="AT88"/>
  <c r="AT89"/>
  <c r="AT90"/>
  <c r="AT91"/>
  <c r="AT93"/>
  <c r="AT95"/>
  <c r="AT96"/>
  <c r="AT97"/>
  <c r="AT98"/>
  <c r="AT99"/>
  <c r="AT100"/>
  <c r="AT101"/>
  <c r="AT105"/>
  <c r="AT106" s="1"/>
  <c r="AT109"/>
  <c r="AT114"/>
  <c r="AT115"/>
  <c r="AT118"/>
  <c r="AT119"/>
  <c r="AT120"/>
  <c r="AT121"/>
  <c r="AT122"/>
  <c r="AT123"/>
  <c r="AT124"/>
  <c r="AT125"/>
  <c r="AT126"/>
  <c r="AT127"/>
  <c r="AT128"/>
  <c r="AT112"/>
  <c r="AT133"/>
  <c r="AT134"/>
  <c r="AT135"/>
  <c r="AT136"/>
  <c r="AT137"/>
  <c r="AT140"/>
  <c r="AT141"/>
  <c r="AT142"/>
  <c r="AT148"/>
  <c r="AT146"/>
  <c r="AT143"/>
  <c r="AT145"/>
  <c r="AT138"/>
  <c r="AT144"/>
  <c r="AT150"/>
  <c r="AT151"/>
  <c r="AT152"/>
  <c r="AT153"/>
  <c r="AT147"/>
  <c r="AT139"/>
  <c r="AT7"/>
  <c r="AT8" s="1"/>
  <c r="AQ11"/>
  <c r="AQ12"/>
  <c r="AQ13"/>
  <c r="AQ17"/>
  <c r="AQ18"/>
  <c r="AQ19"/>
  <c r="AQ20"/>
  <c r="AQ21"/>
  <c r="AQ22"/>
  <c r="AQ23"/>
  <c r="AQ24"/>
  <c r="AQ25"/>
  <c r="AQ26"/>
  <c r="AQ27"/>
  <c r="AQ28"/>
  <c r="AQ29"/>
  <c r="AQ30"/>
  <c r="AQ31"/>
  <c r="AQ32"/>
  <c r="AQ33"/>
  <c r="AQ34"/>
  <c r="AQ35"/>
  <c r="AQ36"/>
  <c r="AQ37"/>
  <c r="AQ38"/>
  <c r="AQ39"/>
  <c r="AQ40"/>
  <c r="AQ41"/>
  <c r="AQ42"/>
  <c r="AQ43"/>
  <c r="AQ44"/>
  <c r="AQ45"/>
  <c r="AQ49"/>
  <c r="AQ50"/>
  <c r="AQ51"/>
  <c r="AQ52"/>
  <c r="AQ56"/>
  <c r="AQ57"/>
  <c r="AQ58"/>
  <c r="AQ59"/>
  <c r="AQ60"/>
  <c r="AQ61"/>
  <c r="AQ62"/>
  <c r="AQ63"/>
  <c r="AQ64"/>
  <c r="AQ65"/>
  <c r="AQ66"/>
  <c r="AQ67"/>
  <c r="AQ71"/>
  <c r="AQ72"/>
  <c r="AQ73"/>
  <c r="AQ74"/>
  <c r="AQ75"/>
  <c r="AQ76"/>
  <c r="AQ77"/>
  <c r="AQ78"/>
  <c r="AQ79"/>
  <c r="AQ80"/>
  <c r="AQ81"/>
  <c r="AQ82"/>
  <c r="AQ83"/>
  <c r="AQ84"/>
  <c r="AQ85"/>
  <c r="AQ86"/>
  <c r="AQ87"/>
  <c r="AQ88"/>
  <c r="AQ89"/>
  <c r="AQ90"/>
  <c r="AQ91"/>
  <c r="AQ93"/>
  <c r="AQ95"/>
  <c r="AQ96"/>
  <c r="AQ97"/>
  <c r="AQ98"/>
  <c r="AQ99"/>
  <c r="AQ100"/>
  <c r="AQ101"/>
  <c r="AQ105"/>
  <c r="AQ106" s="1"/>
  <c r="AQ109"/>
  <c r="AQ114"/>
  <c r="AQ115"/>
  <c r="AQ118"/>
  <c r="AQ119"/>
  <c r="AQ120"/>
  <c r="AQ121"/>
  <c r="AQ122"/>
  <c r="AQ123"/>
  <c r="AQ124"/>
  <c r="AQ125"/>
  <c r="AQ126"/>
  <c r="AQ127"/>
  <c r="AQ128"/>
  <c r="AQ112"/>
  <c r="AQ133"/>
  <c r="AQ134"/>
  <c r="AQ135"/>
  <c r="AQ136"/>
  <c r="AQ137"/>
  <c r="AQ140"/>
  <c r="AQ141"/>
  <c r="AQ142"/>
  <c r="AQ148"/>
  <c r="AQ146"/>
  <c r="AQ143"/>
  <c r="AQ145"/>
  <c r="AQ138"/>
  <c r="AQ144"/>
  <c r="AQ150"/>
  <c r="AQ151"/>
  <c r="AQ152"/>
  <c r="AQ153"/>
  <c r="AQ147"/>
  <c r="AQ139"/>
  <c r="AQ7"/>
  <c r="AN11"/>
  <c r="AN12"/>
  <c r="AN13"/>
  <c r="AN17"/>
  <c r="AN18"/>
  <c r="AN20"/>
  <c r="AN21"/>
  <c r="AN22"/>
  <c r="AN24"/>
  <c r="AN25"/>
  <c r="AN26"/>
  <c r="AN27"/>
  <c r="AN28"/>
  <c r="AN29"/>
  <c r="AN30"/>
  <c r="AN31"/>
  <c r="AN32"/>
  <c r="AN33"/>
  <c r="AN34"/>
  <c r="AN35"/>
  <c r="AN36"/>
  <c r="AN37"/>
  <c r="AN38"/>
  <c r="AN39"/>
  <c r="AN40"/>
  <c r="AN41"/>
  <c r="AN42"/>
  <c r="AN43"/>
  <c r="AN44"/>
  <c r="AN45"/>
  <c r="AN49"/>
  <c r="AN50"/>
  <c r="AN51"/>
  <c r="AN52"/>
  <c r="AN56"/>
  <c r="AN57"/>
  <c r="AN58"/>
  <c r="AN59"/>
  <c r="AN60"/>
  <c r="AN61"/>
  <c r="AN62"/>
  <c r="AN63"/>
  <c r="AN64"/>
  <c r="AN65"/>
  <c r="AN66"/>
  <c r="AN67"/>
  <c r="AN71"/>
  <c r="AN72"/>
  <c r="AN73"/>
  <c r="AN74"/>
  <c r="AN75"/>
  <c r="AN76"/>
  <c r="AN77"/>
  <c r="AN78"/>
  <c r="AN79"/>
  <c r="AN80"/>
  <c r="AN81"/>
  <c r="AN82"/>
  <c r="AN83"/>
  <c r="AN84"/>
  <c r="AN85"/>
  <c r="AN86"/>
  <c r="AN87"/>
  <c r="AN88"/>
  <c r="AN89"/>
  <c r="AN90"/>
  <c r="AN91"/>
  <c r="AN95"/>
  <c r="AN96"/>
  <c r="AN97"/>
  <c r="AN98"/>
  <c r="AN99"/>
  <c r="AN100"/>
  <c r="AN101"/>
  <c r="AN105"/>
  <c r="AN109"/>
  <c r="AN114"/>
  <c r="AN115"/>
  <c r="AN118"/>
  <c r="AN119"/>
  <c r="AN120"/>
  <c r="AN121"/>
  <c r="AN122"/>
  <c r="AN123"/>
  <c r="AN124"/>
  <c r="AN125"/>
  <c r="AN126"/>
  <c r="AN127"/>
  <c r="AN128"/>
  <c r="AN112"/>
  <c r="AN133"/>
  <c r="AN134"/>
  <c r="AN135"/>
  <c r="AN136"/>
  <c r="AN137"/>
  <c r="AN140"/>
  <c r="AN141"/>
  <c r="AN142"/>
  <c r="AN148"/>
  <c r="AN146"/>
  <c r="AN143"/>
  <c r="AN145"/>
  <c r="AN138"/>
  <c r="AN144"/>
  <c r="AN150"/>
  <c r="AN151"/>
  <c r="AN152"/>
  <c r="AN153"/>
  <c r="AN147"/>
  <c r="AN139"/>
  <c r="AN8"/>
  <c r="AQ8" l="1"/>
  <c r="BX7"/>
  <c r="BX8" s="1"/>
  <c r="AQ46"/>
  <c r="AT46"/>
  <c r="AW46"/>
  <c r="AZ46"/>
  <c r="BC46"/>
  <c r="BF46"/>
  <c r="BI46"/>
  <c r="BL46"/>
  <c r="AN14"/>
  <c r="BO46"/>
  <c r="BR46"/>
  <c r="BU46"/>
  <c r="AN46"/>
  <c r="CB43"/>
  <c r="BW46"/>
  <c r="BP155"/>
  <c r="BJ155"/>
  <c r="BD155"/>
  <c r="AX155"/>
  <c r="AR155"/>
  <c r="BT155"/>
  <c r="BN155"/>
  <c r="BB155"/>
  <c r="AV155"/>
  <c r="AP155"/>
  <c r="BH155"/>
  <c r="BS155"/>
  <c r="BM155"/>
  <c r="BG155"/>
  <c r="BA155"/>
  <c r="AU155"/>
  <c r="BY155"/>
  <c r="BQ155"/>
  <c r="BK155"/>
  <c r="BE155"/>
  <c r="AY155"/>
  <c r="AS155"/>
  <c r="AM155"/>
  <c r="BF14"/>
  <c r="BO14"/>
  <c r="AQ14"/>
  <c r="AT14"/>
  <c r="AW14"/>
  <c r="AZ14"/>
  <c r="BC14"/>
  <c r="BZ11"/>
  <c r="BW14"/>
  <c r="BL14"/>
  <c r="BU14"/>
  <c r="CB17"/>
  <c r="BI14"/>
  <c r="BR14"/>
  <c r="CB24"/>
  <c r="BX139"/>
  <c r="CA139" s="1"/>
  <c r="BX151"/>
  <c r="CA151" s="1"/>
  <c r="BX145"/>
  <c r="CA145" s="1"/>
  <c r="BX142"/>
  <c r="CA142" s="1"/>
  <c r="BX136"/>
  <c r="CA136" s="1"/>
  <c r="BX112"/>
  <c r="CA112" s="1"/>
  <c r="BX125"/>
  <c r="CA125" s="1"/>
  <c r="BX121"/>
  <c r="CA121" s="1"/>
  <c r="BX115"/>
  <c r="CA115" s="1"/>
  <c r="BX101"/>
  <c r="CC101" s="1"/>
  <c r="BX97"/>
  <c r="CC97" s="1"/>
  <c r="BX88"/>
  <c r="CA88" s="1"/>
  <c r="BX84"/>
  <c r="CA84" s="1"/>
  <c r="BX76"/>
  <c r="CC76" s="1"/>
  <c r="BX72"/>
  <c r="BX65"/>
  <c r="CA65" s="1"/>
  <c r="BX57"/>
  <c r="CA57" s="1"/>
  <c r="AQ53"/>
  <c r="BC53"/>
  <c r="BZ125"/>
  <c r="BZ63"/>
  <c r="BZ145"/>
  <c r="BZ97"/>
  <c r="AW102"/>
  <c r="AZ68"/>
  <c r="AN53"/>
  <c r="BX147"/>
  <c r="CC147" s="1"/>
  <c r="BX143"/>
  <c r="CA143" s="1"/>
  <c r="BX135"/>
  <c r="BX124"/>
  <c r="CA124" s="1"/>
  <c r="BX120"/>
  <c r="CC120" s="1"/>
  <c r="BX114"/>
  <c r="CA114" s="1"/>
  <c r="BX100"/>
  <c r="BX96"/>
  <c r="AT53"/>
  <c r="AW53"/>
  <c r="AZ53"/>
  <c r="BZ151"/>
  <c r="BZ112"/>
  <c r="BZ101"/>
  <c r="BZ82"/>
  <c r="CB7"/>
  <c r="AW130"/>
  <c r="BX150"/>
  <c r="BX128"/>
  <c r="CC128" s="1"/>
  <c r="BX87"/>
  <c r="CC87" s="1"/>
  <c r="BX83"/>
  <c r="BX75"/>
  <c r="CC75" s="1"/>
  <c r="BX64"/>
  <c r="CA64" s="1"/>
  <c r="BX148"/>
  <c r="CC148" s="1"/>
  <c r="BX89"/>
  <c r="CC89" s="1"/>
  <c r="BX85"/>
  <c r="CC85" s="1"/>
  <c r="BX81"/>
  <c r="CC81" s="1"/>
  <c r="BX73"/>
  <c r="BX66"/>
  <c r="CC66" s="1"/>
  <c r="AZ154"/>
  <c r="BX153"/>
  <c r="BX144"/>
  <c r="CC144" s="1"/>
  <c r="BX146"/>
  <c r="BX140"/>
  <c r="CC140" s="1"/>
  <c r="BX134"/>
  <c r="BX127"/>
  <c r="CC127" s="1"/>
  <c r="BX123"/>
  <c r="BX119"/>
  <c r="CA119" s="1"/>
  <c r="BX99"/>
  <c r="BX90"/>
  <c r="BX86"/>
  <c r="CC86" s="1"/>
  <c r="BX82"/>
  <c r="CA82" s="1"/>
  <c r="BX78"/>
  <c r="BX74"/>
  <c r="CA74" s="1"/>
  <c r="BX67"/>
  <c r="CA67" s="1"/>
  <c r="BX63"/>
  <c r="CA63" s="1"/>
  <c r="BX52"/>
  <c r="CA52" s="1"/>
  <c r="BL154"/>
  <c r="BU130"/>
  <c r="BU102"/>
  <c r="BZ7"/>
  <c r="BZ8" s="1"/>
  <c r="BZ142"/>
  <c r="BZ121"/>
  <c r="BZ74"/>
  <c r="BZ43"/>
  <c r="AC16" i="3"/>
  <c r="Y16"/>
  <c r="U16"/>
  <c r="Q16"/>
  <c r="M16"/>
  <c r="BX138" i="2"/>
  <c r="CC138" s="1"/>
  <c r="BX137"/>
  <c r="CC137" s="1"/>
  <c r="BX126"/>
  <c r="CC126" s="1"/>
  <c r="BX122"/>
  <c r="CC122" s="1"/>
  <c r="BX118"/>
  <c r="BX105"/>
  <c r="BX106" s="1"/>
  <c r="BX98"/>
  <c r="AQ92"/>
  <c r="BC92"/>
  <c r="BI130"/>
  <c r="BI102"/>
  <c r="BO92"/>
  <c r="BO53"/>
  <c r="BZ139"/>
  <c r="BZ136"/>
  <c r="BZ115"/>
  <c r="BZ86"/>
  <c r="BZ67"/>
  <c r="BZ17"/>
  <c r="BX141"/>
  <c r="CA141" s="1"/>
  <c r="BX91"/>
  <c r="CA91" s="1"/>
  <c r="BX79"/>
  <c r="BX152"/>
  <c r="BX77"/>
  <c r="BL68"/>
  <c r="AL155"/>
  <c r="I10" i="3" s="1" a="1"/>
  <c r="I10" s="1"/>
  <c r="AN106" i="2"/>
  <c r="AF16" i="3"/>
  <c r="AB16"/>
  <c r="X16"/>
  <c r="T16"/>
  <c r="P16"/>
  <c r="L16"/>
  <c r="Z16"/>
  <c r="V16"/>
  <c r="AD16"/>
  <c r="R16"/>
  <c r="N16"/>
  <c r="AE16"/>
  <c r="AA16"/>
  <c r="W16"/>
  <c r="S16"/>
  <c r="O16"/>
  <c r="K16"/>
  <c r="AN130" i="2"/>
  <c r="BX109"/>
  <c r="AN102"/>
  <c r="BX95"/>
  <c r="AQ154"/>
  <c r="AQ68"/>
  <c r="AT130"/>
  <c r="AT102"/>
  <c r="AW92"/>
  <c r="BC154"/>
  <c r="BC68"/>
  <c r="BF130"/>
  <c r="BF102"/>
  <c r="BX33"/>
  <c r="BL130"/>
  <c r="BL102"/>
  <c r="BO154"/>
  <c r="BR154"/>
  <c r="BU154"/>
  <c r="CB138"/>
  <c r="BZ138"/>
  <c r="CB148"/>
  <c r="BZ148"/>
  <c r="CB137"/>
  <c r="BZ137"/>
  <c r="CB133"/>
  <c r="BW154"/>
  <c r="BZ133"/>
  <c r="CB126"/>
  <c r="BZ126"/>
  <c r="CB122"/>
  <c r="BZ122"/>
  <c r="BW106"/>
  <c r="BZ36"/>
  <c r="CB36"/>
  <c r="BX133"/>
  <c r="CB143"/>
  <c r="CB81"/>
  <c r="AN154"/>
  <c r="AN68"/>
  <c r="BX36"/>
  <c r="CA36" s="1"/>
  <c r="BX29"/>
  <c r="CA29" s="1"/>
  <c r="AT154"/>
  <c r="AT68"/>
  <c r="AZ92"/>
  <c r="BF154"/>
  <c r="BX25"/>
  <c r="CC25" s="1"/>
  <c r="BI154"/>
  <c r="BX40"/>
  <c r="CC40" s="1"/>
  <c r="CB35"/>
  <c r="BZ35"/>
  <c r="CB25"/>
  <c r="BZ25"/>
  <c r="BZ146"/>
  <c r="BZ123"/>
  <c r="BZ95"/>
  <c r="BZ84"/>
  <c r="BZ76"/>
  <c r="BZ65"/>
  <c r="BZ30"/>
  <c r="CB141"/>
  <c r="CB32"/>
  <c r="BX80"/>
  <c r="AW154"/>
  <c r="AW68"/>
  <c r="AZ130"/>
  <c r="AZ102"/>
  <c r="BO68"/>
  <c r="BR92"/>
  <c r="BR68"/>
  <c r="BR53"/>
  <c r="BU92"/>
  <c r="BU68"/>
  <c r="BU53"/>
  <c r="CB128"/>
  <c r="BZ128"/>
  <c r="CB124"/>
  <c r="BZ124"/>
  <c r="CB120"/>
  <c r="BZ120"/>
  <c r="CB114"/>
  <c r="BZ114"/>
  <c r="BX62"/>
  <c r="CB147"/>
  <c r="CB89"/>
  <c r="CB73"/>
  <c r="AN92"/>
  <c r="BX31"/>
  <c r="CC31" s="1"/>
  <c r="BX24"/>
  <c r="BX20"/>
  <c r="CA20" s="1"/>
  <c r="BX13"/>
  <c r="CC13" s="1"/>
  <c r="AQ130"/>
  <c r="AQ102"/>
  <c r="AT92"/>
  <c r="BC130"/>
  <c r="BC102"/>
  <c r="BF92"/>
  <c r="BF68"/>
  <c r="BF53"/>
  <c r="BI92"/>
  <c r="BI68"/>
  <c r="BI53"/>
  <c r="BL92"/>
  <c r="BL53"/>
  <c r="BO130"/>
  <c r="BO102"/>
  <c r="BR130"/>
  <c r="BR102"/>
  <c r="BW130"/>
  <c r="CB109"/>
  <c r="BW102"/>
  <c r="CB52"/>
  <c r="BZ52"/>
  <c r="BZ45"/>
  <c r="CB45"/>
  <c r="BX71"/>
  <c r="BZ144"/>
  <c r="BZ140"/>
  <c r="BZ127"/>
  <c r="BZ119"/>
  <c r="BZ88"/>
  <c r="CB85"/>
  <c r="CB66"/>
  <c r="BZ91"/>
  <c r="BZ87"/>
  <c r="BZ75"/>
  <c r="BZ71"/>
  <c r="BZ64"/>
  <c r="BW53"/>
  <c r="BW68"/>
  <c r="BW92"/>
  <c r="BZ38"/>
  <c r="CB11"/>
  <c r="BX59"/>
  <c r="CC59" s="1"/>
  <c r="BX51"/>
  <c r="CC51" s="1"/>
  <c r="BX42"/>
  <c r="CC42" s="1"/>
  <c r="BX30"/>
  <c r="BX23"/>
  <c r="BX19"/>
  <c r="CA19" s="1"/>
  <c r="BX12"/>
  <c r="CC12" s="1"/>
  <c r="BX49"/>
  <c r="CA49" s="1"/>
  <c r="BX34"/>
  <c r="CA34" s="1"/>
  <c r="BX28"/>
  <c r="CC28" s="1"/>
  <c r="BX21"/>
  <c r="CC21" s="1"/>
  <c r="BX32"/>
  <c r="CA32" s="1"/>
  <c r="BZ57"/>
  <c r="BZ49"/>
  <c r="BZ27"/>
  <c r="BZ12"/>
  <c r="CB56"/>
  <c r="CB44"/>
  <c r="CB37"/>
  <c r="CB29"/>
  <c r="BX58"/>
  <c r="BX50"/>
  <c r="BX45"/>
  <c r="BX41"/>
  <c r="BX35"/>
  <c r="BX26"/>
  <c r="CA26" s="1"/>
  <c r="BX18"/>
  <c r="CA18" s="1"/>
  <c r="BX56"/>
  <c r="CC56" s="1"/>
  <c r="BX39"/>
  <c r="CC39" s="1"/>
  <c r="BX27"/>
  <c r="CC27" s="1"/>
  <c r="BX60"/>
  <c r="BX43"/>
  <c r="BX11"/>
  <c r="CB18"/>
  <c r="BX61"/>
  <c r="BX44"/>
  <c r="CC44" s="1"/>
  <c r="BX37"/>
  <c r="BX38"/>
  <c r="CC38" s="1"/>
  <c r="BZ41"/>
  <c r="BZ23"/>
  <c r="CB51"/>
  <c r="CB40"/>
  <c r="CB34"/>
  <c r="CB26"/>
  <c r="BX22"/>
  <c r="BX17"/>
  <c r="BZ33"/>
  <c r="BZ20"/>
  <c r="CB59"/>
  <c r="BZ39"/>
  <c r="BZ28"/>
  <c r="BZ24"/>
  <c r="BZ19"/>
  <c r="CB19"/>
  <c r="BZ50"/>
  <c r="BZ42"/>
  <c r="BZ31"/>
  <c r="BZ21"/>
  <c r="BZ13"/>
  <c r="AO155"/>
  <c r="CE189"/>
  <c r="AK189"/>
  <c r="AG176"/>
  <c r="AI176" s="1"/>
  <c r="AG175"/>
  <c r="AI175" s="1"/>
  <c r="AG174"/>
  <c r="AI174" s="1"/>
  <c r="AG173"/>
  <c r="AI173" s="1"/>
  <c r="AG172"/>
  <c r="AI172" s="1"/>
  <c r="AG171"/>
  <c r="AI171" s="1"/>
  <c r="AG170"/>
  <c r="AI170" s="1"/>
  <c r="AG169"/>
  <c r="AI169" s="1"/>
  <c r="AG168"/>
  <c r="AI168" s="1"/>
  <c r="AG167"/>
  <c r="AI167" s="1"/>
  <c r="CF98"/>
  <c r="CF105"/>
  <c r="CF106" s="1"/>
  <c r="CE105"/>
  <c r="CE106" s="1"/>
  <c r="AK105"/>
  <c r="CF77"/>
  <c r="CF90"/>
  <c r="AK77"/>
  <c r="BZ77" s="1"/>
  <c r="AK90"/>
  <c r="AK60"/>
  <c r="AK80"/>
  <c r="CB80" s="1"/>
  <c r="AK72"/>
  <c r="CB72" s="1"/>
  <c r="CF62"/>
  <c r="CE62"/>
  <c r="AK62"/>
  <c r="CF61"/>
  <c r="CE61"/>
  <c r="AK61"/>
  <c r="AK58"/>
  <c r="CB58" s="1"/>
  <c r="CE90"/>
  <c r="CE98"/>
  <c r="CE102" s="1"/>
  <c r="AK98"/>
  <c r="AU145" i="3"/>
  <c r="AU140"/>
  <c r="CE40" i="2"/>
  <c r="CF39"/>
  <c r="CE39"/>
  <c r="CF38"/>
  <c r="CE38"/>
  <c r="CF33"/>
  <c r="CE33"/>
  <c r="CE23"/>
  <c r="DY23" s="1"/>
  <c r="CE22"/>
  <c r="CE24"/>
  <c r="AK22"/>
  <c r="AK46" s="1"/>
  <c r="CH154"/>
  <c r="CG154"/>
  <c r="CH130"/>
  <c r="CG130"/>
  <c r="CH102"/>
  <c r="CG102"/>
  <c r="CH92"/>
  <c r="CG92"/>
  <c r="CH68"/>
  <c r="CG68"/>
  <c r="CH53"/>
  <c r="CG53"/>
  <c r="CH14"/>
  <c r="CG14"/>
  <c r="CH8"/>
  <c r="CG8"/>
  <c r="CF83"/>
  <c r="CE83"/>
  <c r="AK83"/>
  <c r="AK152"/>
  <c r="BZ152" s="1"/>
  <c r="AG101"/>
  <c r="AI101" s="1"/>
  <c r="CF53"/>
  <c r="AK53"/>
  <c r="CF162"/>
  <c r="CE162"/>
  <c r="AK162"/>
  <c r="AG161"/>
  <c r="AI161" s="1"/>
  <c r="AG159"/>
  <c r="AI159" s="1"/>
  <c r="CF152"/>
  <c r="CF153"/>
  <c r="CE153"/>
  <c r="AK153"/>
  <c r="CB153" s="1"/>
  <c r="CE88"/>
  <c r="AK96"/>
  <c r="CF100"/>
  <c r="AK100"/>
  <c r="BZ100" s="1"/>
  <c r="AJ100" i="4"/>
  <c r="AI100"/>
  <c r="AH100"/>
  <c r="AH12"/>
  <c r="AJ127"/>
  <c r="AI127"/>
  <c r="AJ12"/>
  <c r="AI12"/>
  <c r="AJ56"/>
  <c r="AI56"/>
  <c r="AH56"/>
  <c r="AH127"/>
  <c r="AI21"/>
  <c r="AJ21"/>
  <c r="AH21"/>
  <c r="AJ17"/>
  <c r="AJ46"/>
  <c r="AI46"/>
  <c r="AH46"/>
  <c r="AJ84"/>
  <c r="AI84"/>
  <c r="AH84"/>
  <c r="AH78"/>
  <c r="AJ93"/>
  <c r="AI93"/>
  <c r="AH93"/>
  <c r="AJ39"/>
  <c r="AI39"/>
  <c r="AH39"/>
  <c r="AJ35"/>
  <c r="AI35"/>
  <c r="AH35"/>
  <c r="AJ61"/>
  <c r="AI61"/>
  <c r="AH61"/>
  <c r="AJ96"/>
  <c r="AI96"/>
  <c r="AH96"/>
  <c r="AJ73"/>
  <c r="AH73"/>
  <c r="AJ67"/>
  <c r="AI67"/>
  <c r="AH67"/>
  <c r="AJ106"/>
  <c r="AI106"/>
  <c r="AH106"/>
  <c r="AH89"/>
  <c r="AI17"/>
  <c r="AH17"/>
  <c r="BY122"/>
  <c r="BR122"/>
  <c r="BO122"/>
  <c r="BM122"/>
  <c r="BK122"/>
  <c r="BI122"/>
  <c r="BG122"/>
  <c r="BE122"/>
  <c r="BC122"/>
  <c r="BA122"/>
  <c r="AZ122"/>
  <c r="AX122"/>
  <c r="AW122"/>
  <c r="AU122"/>
  <c r="AT122"/>
  <c r="AP122"/>
  <c r="AO122"/>
  <c r="AM122"/>
  <c r="AK122"/>
  <c r="AG122"/>
  <c r="AE122"/>
  <c r="AC122"/>
  <c r="AA122"/>
  <c r="Z122"/>
  <c r="BP104"/>
  <c r="BN104"/>
  <c r="BL104"/>
  <c r="BJ104"/>
  <c r="BH104"/>
  <c r="BF104"/>
  <c r="BD104"/>
  <c r="BB104"/>
  <c r="AY104"/>
  <c r="AV104"/>
  <c r="AR104"/>
  <c r="AQ104"/>
  <c r="AN104"/>
  <c r="AL104"/>
  <c r="AB104"/>
  <c r="AD104" s="1"/>
  <c r="BW102"/>
  <c r="BP102"/>
  <c r="BN102"/>
  <c r="BL102"/>
  <c r="BJ102"/>
  <c r="BH102"/>
  <c r="BF102"/>
  <c r="BD102"/>
  <c r="BB102"/>
  <c r="AY102"/>
  <c r="AV102"/>
  <c r="AR102"/>
  <c r="AQ102"/>
  <c r="AN102"/>
  <c r="AL102"/>
  <c r="AI102"/>
  <c r="AB102"/>
  <c r="AD102" s="1"/>
  <c r="BP98"/>
  <c r="BN98"/>
  <c r="BL98"/>
  <c r="BJ98"/>
  <c r="BH98"/>
  <c r="BF98"/>
  <c r="BD98"/>
  <c r="BB98"/>
  <c r="AY98"/>
  <c r="AV98"/>
  <c r="AR98"/>
  <c r="AQ98"/>
  <c r="AN98"/>
  <c r="AL98"/>
  <c r="AB98"/>
  <c r="AD98" s="1"/>
  <c r="BP91"/>
  <c r="BN91"/>
  <c r="BL91"/>
  <c r="BJ91"/>
  <c r="BH91"/>
  <c r="BF91"/>
  <c r="BD91"/>
  <c r="BB91"/>
  <c r="AY91"/>
  <c r="AV91"/>
  <c r="AR91"/>
  <c r="AQ91"/>
  <c r="AN91"/>
  <c r="AL91"/>
  <c r="AB91"/>
  <c r="AD91" s="1"/>
  <c r="AF91" s="1"/>
  <c r="BP94"/>
  <c r="BN94"/>
  <c r="BL94"/>
  <c r="BJ94"/>
  <c r="BH94"/>
  <c r="BF94"/>
  <c r="BD94"/>
  <c r="BB94"/>
  <c r="AY94"/>
  <c r="AV94"/>
  <c r="AR94"/>
  <c r="AQ94"/>
  <c r="AN94"/>
  <c r="AL94"/>
  <c r="AB94"/>
  <c r="AD94" s="1"/>
  <c r="BB87"/>
  <c r="BQ87" s="1"/>
  <c r="AD87"/>
  <c r="AF87" s="1"/>
  <c r="BP86"/>
  <c r="BN86"/>
  <c r="BL86"/>
  <c r="BJ86"/>
  <c r="BH86"/>
  <c r="BF86"/>
  <c r="BD86"/>
  <c r="BB86"/>
  <c r="AY86"/>
  <c r="AV86"/>
  <c r="AR86"/>
  <c r="AQ86"/>
  <c r="AN86"/>
  <c r="AL86"/>
  <c r="AJ86"/>
  <c r="AJ89" s="1"/>
  <c r="AI86"/>
  <c r="AI89" s="1"/>
  <c r="AB86"/>
  <c r="AD86" s="1"/>
  <c r="AF86" s="1"/>
  <c r="BB82"/>
  <c r="BQ82" s="1"/>
  <c r="AD82"/>
  <c r="BP81"/>
  <c r="BN81"/>
  <c r="BL81"/>
  <c r="BJ81"/>
  <c r="BH81"/>
  <c r="BF81"/>
  <c r="BD81"/>
  <c r="BB81"/>
  <c r="AY81"/>
  <c r="AV81"/>
  <c r="AR81"/>
  <c r="AQ81"/>
  <c r="AN81"/>
  <c r="AL81"/>
  <c r="AB81"/>
  <c r="AD81" s="1"/>
  <c r="BP80"/>
  <c r="BN80"/>
  <c r="BL80"/>
  <c r="BJ80"/>
  <c r="BH80"/>
  <c r="BF80"/>
  <c r="BD80"/>
  <c r="BB80"/>
  <c r="AY80"/>
  <c r="AV80"/>
  <c r="AR80"/>
  <c r="AQ80"/>
  <c r="AN80"/>
  <c r="AL80"/>
  <c r="AB80"/>
  <c r="AD80" s="1"/>
  <c r="BP76"/>
  <c r="BN76"/>
  <c r="BL76"/>
  <c r="BJ76"/>
  <c r="BH76"/>
  <c r="BF76"/>
  <c r="BD76"/>
  <c r="BB76"/>
  <c r="AY76"/>
  <c r="AV76"/>
  <c r="AR76"/>
  <c r="AQ76"/>
  <c r="AN76"/>
  <c r="AL76"/>
  <c r="AB76"/>
  <c r="AD76" s="1"/>
  <c r="AF76" s="1"/>
  <c r="BP75"/>
  <c r="BN75"/>
  <c r="BL75"/>
  <c r="BJ75"/>
  <c r="BH75"/>
  <c r="BF75"/>
  <c r="BD75"/>
  <c r="BB75"/>
  <c r="AY75"/>
  <c r="AV75"/>
  <c r="AR75"/>
  <c r="AQ75"/>
  <c r="AN75"/>
  <c r="AL75"/>
  <c r="AJ75"/>
  <c r="AJ78" s="1"/>
  <c r="AI75"/>
  <c r="AI78" s="1"/>
  <c r="AB75"/>
  <c r="AD75" s="1"/>
  <c r="AI70"/>
  <c r="AI73" s="1"/>
  <c r="AB70"/>
  <c r="AD70" s="1"/>
  <c r="AF70" s="1"/>
  <c r="BP69"/>
  <c r="BN69"/>
  <c r="BL69"/>
  <c r="BJ69"/>
  <c r="BH69"/>
  <c r="BF69"/>
  <c r="BD69"/>
  <c r="BB69"/>
  <c r="AY69"/>
  <c r="AV69"/>
  <c r="AR69"/>
  <c r="AQ69"/>
  <c r="AN69"/>
  <c r="AL69"/>
  <c r="AB69"/>
  <c r="AD69" s="1"/>
  <c r="BP65"/>
  <c r="BN65"/>
  <c r="BL65"/>
  <c r="BJ65"/>
  <c r="BH65"/>
  <c r="BF65"/>
  <c r="BD65"/>
  <c r="BB65"/>
  <c r="AY65"/>
  <c r="AV65"/>
  <c r="AR65"/>
  <c r="AQ65"/>
  <c r="AN65"/>
  <c r="AL65"/>
  <c r="AB65"/>
  <c r="AD65" s="1"/>
  <c r="BP63"/>
  <c r="BN63"/>
  <c r="BL63"/>
  <c r="BJ63"/>
  <c r="BH63"/>
  <c r="BF63"/>
  <c r="BD63"/>
  <c r="BB63"/>
  <c r="AY63"/>
  <c r="AV63"/>
  <c r="AR63"/>
  <c r="AQ63"/>
  <c r="AN63"/>
  <c r="AL63"/>
  <c r="AB63"/>
  <c r="AD63" s="1"/>
  <c r="BU63" s="1"/>
  <c r="BP60"/>
  <c r="BN60"/>
  <c r="BL60"/>
  <c r="BJ60"/>
  <c r="BH60"/>
  <c r="BF60"/>
  <c r="BD60"/>
  <c r="BB60"/>
  <c r="AY60"/>
  <c r="AV60"/>
  <c r="AR60"/>
  <c r="AQ60"/>
  <c r="AN60"/>
  <c r="AL60"/>
  <c r="AB60"/>
  <c r="AD60" s="1"/>
  <c r="AF60" s="1"/>
  <c r="BP59"/>
  <c r="BN59"/>
  <c r="BL59"/>
  <c r="BJ59"/>
  <c r="BH59"/>
  <c r="BF59"/>
  <c r="BD59"/>
  <c r="BB59"/>
  <c r="AY59"/>
  <c r="AV59"/>
  <c r="AR59"/>
  <c r="AQ59"/>
  <c r="AN59"/>
  <c r="AL59"/>
  <c r="AB59"/>
  <c r="AD59" s="1"/>
  <c r="BP53"/>
  <c r="BN53"/>
  <c r="BL53"/>
  <c r="BJ53"/>
  <c r="BH53"/>
  <c r="BF53"/>
  <c r="BD53"/>
  <c r="BB53"/>
  <c r="AY53"/>
  <c r="AV53"/>
  <c r="AR53"/>
  <c r="AQ53"/>
  <c r="AN53"/>
  <c r="AL53"/>
  <c r="AB53"/>
  <c r="AD53" s="1"/>
  <c r="BP52"/>
  <c r="BN52"/>
  <c r="BL52"/>
  <c r="BJ52"/>
  <c r="BH52"/>
  <c r="BF52"/>
  <c r="BD52"/>
  <c r="BB52"/>
  <c r="AY52"/>
  <c r="AV52"/>
  <c r="AR52"/>
  <c r="AQ52"/>
  <c r="AN52"/>
  <c r="AL52"/>
  <c r="AB52"/>
  <c r="AD52" s="1"/>
  <c r="AF52" s="1"/>
  <c r="BP51"/>
  <c r="BN51"/>
  <c r="BL51"/>
  <c r="BJ51"/>
  <c r="BH51"/>
  <c r="BF51"/>
  <c r="BD51"/>
  <c r="BB51"/>
  <c r="AY51"/>
  <c r="AV51"/>
  <c r="AR51"/>
  <c r="AQ51"/>
  <c r="AN51"/>
  <c r="AL51"/>
  <c r="AB51"/>
  <c r="AD51" s="1"/>
  <c r="BP49"/>
  <c r="BN49"/>
  <c r="BL49"/>
  <c r="BJ49"/>
  <c r="BH49"/>
  <c r="BF49"/>
  <c r="BD49"/>
  <c r="BB49"/>
  <c r="AY49"/>
  <c r="AV49"/>
  <c r="AR49"/>
  <c r="AQ49"/>
  <c r="AN49"/>
  <c r="AL49"/>
  <c r="AB49"/>
  <c r="AD49" s="1"/>
  <c r="AF49" s="1"/>
  <c r="BP43"/>
  <c r="BN43"/>
  <c r="BL43"/>
  <c r="BJ43"/>
  <c r="BH43"/>
  <c r="BF43"/>
  <c r="BD43"/>
  <c r="BB43"/>
  <c r="AY43"/>
  <c r="AV43"/>
  <c r="AR43"/>
  <c r="AQ43"/>
  <c r="AN43"/>
  <c r="AL43"/>
  <c r="AB43"/>
  <c r="AD43" s="1"/>
  <c r="BP41"/>
  <c r="BN41"/>
  <c r="BL41"/>
  <c r="BJ41"/>
  <c r="BH41"/>
  <c r="BF41"/>
  <c r="BD41"/>
  <c r="BB41"/>
  <c r="AY41"/>
  <c r="AV41"/>
  <c r="AR41"/>
  <c r="AQ41"/>
  <c r="AN41"/>
  <c r="AL41"/>
  <c r="AB41"/>
  <c r="AD41" s="1"/>
  <c r="AF41" s="1"/>
  <c r="BP36"/>
  <c r="BN36"/>
  <c r="BL36"/>
  <c r="BJ36"/>
  <c r="BH36"/>
  <c r="BF36"/>
  <c r="BD36"/>
  <c r="BB36"/>
  <c r="AY36"/>
  <c r="AV36"/>
  <c r="AR36"/>
  <c r="AQ36"/>
  <c r="AN36"/>
  <c r="AL36"/>
  <c r="AB36"/>
  <c r="AD36" s="1"/>
  <c r="AF36" s="1"/>
  <c r="BP31"/>
  <c r="BN31"/>
  <c r="BL31"/>
  <c r="BJ31"/>
  <c r="BH31"/>
  <c r="BF31"/>
  <c r="BD31"/>
  <c r="BB31"/>
  <c r="AY31"/>
  <c r="AV31"/>
  <c r="AR31"/>
  <c r="AQ31"/>
  <c r="AN31"/>
  <c r="AL31"/>
  <c r="AB31"/>
  <c r="AD31" s="1"/>
  <c r="AF31" s="1"/>
  <c r="BP30"/>
  <c r="BN30"/>
  <c r="BL30"/>
  <c r="BJ30"/>
  <c r="BH30"/>
  <c r="BF30"/>
  <c r="BD30"/>
  <c r="BB30"/>
  <c r="AY30"/>
  <c r="AV30"/>
  <c r="AR30"/>
  <c r="AQ30"/>
  <c r="AN30"/>
  <c r="AL30"/>
  <c r="AB30"/>
  <c r="AD30" s="1"/>
  <c r="BP29"/>
  <c r="BN29"/>
  <c r="BL29"/>
  <c r="BJ29"/>
  <c r="BH29"/>
  <c r="BF29"/>
  <c r="BD29"/>
  <c r="BB29"/>
  <c r="AY29"/>
  <c r="AV29"/>
  <c r="AR29"/>
  <c r="AQ29"/>
  <c r="AN29"/>
  <c r="AL29"/>
  <c r="AB29"/>
  <c r="AD29" s="1"/>
  <c r="BP28"/>
  <c r="BN28"/>
  <c r="BL28"/>
  <c r="BJ28"/>
  <c r="BH28"/>
  <c r="BF28"/>
  <c r="BD28"/>
  <c r="BB28"/>
  <c r="AY28"/>
  <c r="AV28"/>
  <c r="AR28"/>
  <c r="AQ28"/>
  <c r="AN28"/>
  <c r="AL28"/>
  <c r="AB28"/>
  <c r="AD28" s="1"/>
  <c r="AF28" s="1"/>
  <c r="AI25"/>
  <c r="AH25"/>
  <c r="AJ24"/>
  <c r="AJ25" s="1"/>
  <c r="BP23"/>
  <c r="BN23"/>
  <c r="BL23"/>
  <c r="BJ23"/>
  <c r="BH23"/>
  <c r="BF23"/>
  <c r="BD23"/>
  <c r="BB23"/>
  <c r="AY23"/>
  <c r="AV23"/>
  <c r="AR23"/>
  <c r="AQ23"/>
  <c r="AN23"/>
  <c r="AL23"/>
  <c r="AB23"/>
  <c r="AD23" s="1"/>
  <c r="BP19"/>
  <c r="BN19"/>
  <c r="BL19"/>
  <c r="BJ19"/>
  <c r="BH19"/>
  <c r="BF19"/>
  <c r="BD19"/>
  <c r="BB19"/>
  <c r="AY19"/>
  <c r="AV19"/>
  <c r="AR19"/>
  <c r="AQ19"/>
  <c r="AN19"/>
  <c r="AL19"/>
  <c r="AB19"/>
  <c r="AD19" s="1"/>
  <c r="AF19" s="1"/>
  <c r="CA19" s="1"/>
  <c r="BP15"/>
  <c r="BN15"/>
  <c r="BL15"/>
  <c r="BJ15"/>
  <c r="BH15"/>
  <c r="BF15"/>
  <c r="BD15"/>
  <c r="BB15"/>
  <c r="AY15"/>
  <c r="AV15"/>
  <c r="AR15"/>
  <c r="AQ15"/>
  <c r="AN15"/>
  <c r="AL15"/>
  <c r="AB15"/>
  <c r="AD15" s="1"/>
  <c r="BP14"/>
  <c r="BN14"/>
  <c r="BL14"/>
  <c r="BJ14"/>
  <c r="BH14"/>
  <c r="BF14"/>
  <c r="BD14"/>
  <c r="BB14"/>
  <c r="AY14"/>
  <c r="AV14"/>
  <c r="AR14"/>
  <c r="AQ14"/>
  <c r="AN14"/>
  <c r="AL14"/>
  <c r="AB14"/>
  <c r="AD14" s="1"/>
  <c r="BP9"/>
  <c r="BN9"/>
  <c r="BL9"/>
  <c r="BJ9"/>
  <c r="BH9"/>
  <c r="BF9"/>
  <c r="BD9"/>
  <c r="BB9"/>
  <c r="AY9"/>
  <c r="AV9"/>
  <c r="AR9"/>
  <c r="AQ9"/>
  <c r="AN9"/>
  <c r="AL9"/>
  <c r="AB9"/>
  <c r="AD9" s="1"/>
  <c r="AD7"/>
  <c r="AF7" s="1"/>
  <c r="BN6"/>
  <c r="BL6"/>
  <c r="BJ6"/>
  <c r="BH6"/>
  <c r="BF6"/>
  <c r="BD6"/>
  <c r="BN5"/>
  <c r="BL5"/>
  <c r="BJ5"/>
  <c r="BH5"/>
  <c r="BF5"/>
  <c r="BD5"/>
  <c r="AK79" i="2"/>
  <c r="AK118"/>
  <c r="AK130" s="1"/>
  <c r="CF130"/>
  <c r="CF74"/>
  <c r="CE74"/>
  <c r="CF78"/>
  <c r="CE78"/>
  <c r="CF72"/>
  <c r="CE79"/>
  <c r="CE77"/>
  <c r="CE72"/>
  <c r="AK78"/>
  <c r="BZ78" s="1"/>
  <c r="AP369" i="3"/>
  <c r="CE50" i="2"/>
  <c r="CE53" s="1"/>
  <c r="E377" i="3" a="1"/>
  <c r="E377" s="1"/>
  <c r="D377" a="1"/>
  <c r="D377" s="1"/>
  <c r="E376" a="1"/>
  <c r="E376" s="1"/>
  <c r="D376" a="1"/>
  <c r="D376" s="1"/>
  <c r="E375" a="1"/>
  <c r="E375" s="1"/>
  <c r="D375" a="1"/>
  <c r="D375" s="1"/>
  <c r="E374" a="1"/>
  <c r="E374" s="1"/>
  <c r="D374" a="1"/>
  <c r="D374" s="1"/>
  <c r="E373" a="1"/>
  <c r="E373" s="1"/>
  <c r="E378" s="1"/>
  <c r="D373" a="1"/>
  <c r="D373" s="1"/>
  <c r="D378" s="1"/>
  <c r="E347"/>
  <c r="D347"/>
  <c r="E341"/>
  <c r="D341"/>
  <c r="E337"/>
  <c r="D337"/>
  <c r="E333"/>
  <c r="D333"/>
  <c r="E331" a="1"/>
  <c r="E331" s="1"/>
  <c r="D331" a="1"/>
  <c r="D331" s="1"/>
  <c r="E327" a="1"/>
  <c r="E327" s="1"/>
  <c r="D327" a="1"/>
  <c r="D327" s="1"/>
  <c r="E326" a="1"/>
  <c r="E326" s="1"/>
  <c r="D326" a="1"/>
  <c r="D326" s="1"/>
  <c r="E324" a="1"/>
  <c r="E324" s="1"/>
  <c r="D324" a="1"/>
  <c r="D324" s="1"/>
  <c r="E323" a="1"/>
  <c r="E323" s="1"/>
  <c r="D323" a="1"/>
  <c r="D323" s="1"/>
  <c r="E322" a="1"/>
  <c r="E322" s="1"/>
  <c r="D322" a="1"/>
  <c r="D322" s="1"/>
  <c r="E321" a="1"/>
  <c r="E321" s="1"/>
  <c r="D321" a="1"/>
  <c r="D321" s="1"/>
  <c r="E320" a="1"/>
  <c r="E320" s="1"/>
  <c r="E319" s="1"/>
  <c r="D320" a="1"/>
  <c r="D320" s="1"/>
  <c r="D319" s="1"/>
  <c r="E316" a="1"/>
  <c r="E316" s="1"/>
  <c r="E315" s="1"/>
  <c r="D316" a="1"/>
  <c r="D316" s="1"/>
  <c r="D315" s="1"/>
  <c r="E311"/>
  <c r="D311"/>
  <c r="E309" a="1"/>
  <c r="E309" s="1"/>
  <c r="D309" a="1"/>
  <c r="D309" s="1"/>
  <c r="E306" a="1"/>
  <c r="E306" s="1"/>
  <c r="D306" a="1"/>
  <c r="D306" s="1"/>
  <c r="E305" a="1"/>
  <c r="E305" s="1"/>
  <c r="D305" a="1"/>
  <c r="D305" s="1"/>
  <c r="E301" a="1"/>
  <c r="E301" s="1"/>
  <c r="D301" a="1"/>
  <c r="D301" s="1"/>
  <c r="E300" a="1"/>
  <c r="E300" s="1"/>
  <c r="D300" a="1"/>
  <c r="D300" s="1"/>
  <c r="E299" a="1"/>
  <c r="E299" s="1"/>
  <c r="D299" a="1"/>
  <c r="D299" s="1"/>
  <c r="E298" a="1"/>
  <c r="E298" s="1"/>
  <c r="D298" a="1"/>
  <c r="D298" s="1"/>
  <c r="E297" a="1"/>
  <c r="E297" s="1"/>
  <c r="D297" a="1"/>
  <c r="D297" s="1"/>
  <c r="E296" a="1"/>
  <c r="E296" s="1"/>
  <c r="E295" s="1"/>
  <c r="D296" a="1"/>
  <c r="D296" s="1"/>
  <c r="D295" s="1"/>
  <c r="E293" a="1"/>
  <c r="E293" s="1"/>
  <c r="D293" a="1"/>
  <c r="D293" s="1"/>
  <c r="E291" a="1"/>
  <c r="E291" s="1"/>
  <c r="D291" a="1"/>
  <c r="D291" s="1"/>
  <c r="E290" a="1"/>
  <c r="E290" s="1"/>
  <c r="E289" s="1"/>
  <c r="D290" a="1"/>
  <c r="D290" s="1"/>
  <c r="D289" s="1"/>
  <c r="E287" a="1"/>
  <c r="E287" s="1"/>
  <c r="E286" s="1"/>
  <c r="D287" a="1"/>
  <c r="D287" s="1"/>
  <c r="D286" s="1"/>
  <c r="E285" a="1"/>
  <c r="E285" s="1"/>
  <c r="E282" s="1"/>
  <c r="D285" a="1"/>
  <c r="D285" s="1"/>
  <c r="D282" s="1"/>
  <c r="E281" a="1"/>
  <c r="E281" s="1"/>
  <c r="D281" a="1"/>
  <c r="D281" s="1"/>
  <c r="E280" a="1"/>
  <c r="E280" s="1"/>
  <c r="E278" s="1"/>
  <c r="D280" a="1"/>
  <c r="D280" s="1"/>
  <c r="D278" s="1"/>
  <c r="E276" a="1"/>
  <c r="E276" s="1"/>
  <c r="E275" s="1"/>
  <c r="D276" a="1"/>
  <c r="D276" s="1"/>
  <c r="D275" s="1"/>
  <c r="E266" a="1"/>
  <c r="E266" s="1"/>
  <c r="D266" a="1"/>
  <c r="D266" s="1"/>
  <c r="E265" a="1"/>
  <c r="E265" s="1"/>
  <c r="E264" s="1"/>
  <c r="E238" s="1"/>
  <c r="D265" a="1"/>
  <c r="D265" s="1"/>
  <c r="D264" s="1"/>
  <c r="D238" s="1"/>
  <c r="E258"/>
  <c r="D258"/>
  <c r="E254"/>
  <c r="D254"/>
  <c r="E250"/>
  <c r="D250"/>
  <c r="E248" a="1"/>
  <c r="E248" s="1"/>
  <c r="D248" a="1"/>
  <c r="D248" s="1"/>
  <c r="E244" a="1"/>
  <c r="E244" s="1"/>
  <c r="D244" a="1"/>
  <c r="D244" s="1"/>
  <c r="E243" a="1"/>
  <c r="E243" s="1"/>
  <c r="D243" a="1"/>
  <c r="D243" s="1"/>
  <c r="E241" a="1"/>
  <c r="E241" s="1"/>
  <c r="D241" a="1"/>
  <c r="D241" s="1"/>
  <c r="E240" a="1"/>
  <c r="E240" s="1"/>
  <c r="D240" a="1"/>
  <c r="D240" s="1"/>
  <c r="E239" a="1"/>
  <c r="E239" s="1"/>
  <c r="D239" a="1"/>
  <c r="D239" s="1"/>
  <c r="E237" a="1"/>
  <c r="E237" s="1"/>
  <c r="E236" s="1"/>
  <c r="D237" a="1"/>
  <c r="D237" s="1"/>
  <c r="D236" s="1"/>
  <c r="E233" a="1"/>
  <c r="E233" s="1"/>
  <c r="E232" s="1"/>
  <c r="D233" a="1"/>
  <c r="D233" s="1"/>
  <c r="D232" s="1"/>
  <c r="E228"/>
  <c r="D228"/>
  <c r="E226" a="1"/>
  <c r="E226" s="1"/>
  <c r="D226" a="1"/>
  <c r="D226" s="1"/>
  <c r="E222" a="1"/>
  <c r="E222" s="1"/>
  <c r="D222" a="1"/>
  <c r="D222" s="1"/>
  <c r="E221" a="1"/>
  <c r="E221" s="1"/>
  <c r="D221" a="1"/>
  <c r="D221" s="1"/>
  <c r="E218" a="1"/>
  <c r="E218" s="1"/>
  <c r="D218" a="1"/>
  <c r="D218" s="1"/>
  <c r="E217" a="1"/>
  <c r="E217" s="1"/>
  <c r="D217" a="1"/>
  <c r="D217" s="1"/>
  <c r="E216" a="1"/>
  <c r="E216" s="1"/>
  <c r="D216" a="1"/>
  <c r="D216" s="1"/>
  <c r="E215" a="1"/>
  <c r="E215" s="1"/>
  <c r="D215" a="1"/>
  <c r="D215" s="1"/>
  <c r="E214" a="1"/>
  <c r="E214" s="1"/>
  <c r="D214" a="1"/>
  <c r="D214" s="1"/>
  <c r="E213" a="1"/>
  <c r="E213" s="1"/>
  <c r="E212" s="1"/>
  <c r="D213" a="1"/>
  <c r="D213" s="1"/>
  <c r="D212" s="1"/>
  <c r="E210" a="1"/>
  <c r="E210" s="1"/>
  <c r="D210" a="1"/>
  <c r="D210" s="1"/>
  <c r="E208" a="1"/>
  <c r="E208" s="1"/>
  <c r="D208" a="1"/>
  <c r="D208" s="1"/>
  <c r="E207" a="1"/>
  <c r="E207" s="1"/>
  <c r="E206" s="1"/>
  <c r="D207" a="1"/>
  <c r="D207" s="1"/>
  <c r="D206" s="1"/>
  <c r="E204" a="1"/>
  <c r="E204" s="1"/>
  <c r="E203" s="1"/>
  <c r="D204" a="1"/>
  <c r="D204" s="1"/>
  <c r="D203" s="1"/>
  <c r="E202" a="1"/>
  <c r="E202" s="1"/>
  <c r="E199" s="1"/>
  <c r="D202" a="1"/>
  <c r="D202" s="1"/>
  <c r="D199" s="1"/>
  <c r="E198" a="1"/>
  <c r="E198" s="1"/>
  <c r="D198" a="1"/>
  <c r="D198" s="1"/>
  <c r="E197" a="1"/>
  <c r="E197" s="1"/>
  <c r="E195" s="1"/>
  <c r="D197" a="1"/>
  <c r="D197" s="1"/>
  <c r="D195" s="1"/>
  <c r="E193" a="1"/>
  <c r="E193" s="1"/>
  <c r="E192" s="1"/>
  <c r="D193" a="1"/>
  <c r="D193" s="1"/>
  <c r="D192" s="1"/>
  <c r="E173" a="1"/>
  <c r="E173" s="1"/>
  <c r="D173" a="1"/>
  <c r="D173" s="1"/>
  <c r="E172" a="1"/>
  <c r="E172" s="1"/>
  <c r="D172" a="1"/>
  <c r="D172" s="1"/>
  <c r="E171" a="1"/>
  <c r="E171" s="1"/>
  <c r="D171" a="1"/>
  <c r="D171" s="1"/>
  <c r="E170" a="1"/>
  <c r="E170" s="1"/>
  <c r="D170" a="1"/>
  <c r="D170" s="1"/>
  <c r="E169" a="1"/>
  <c r="E169" s="1"/>
  <c r="E168" s="1"/>
  <c r="D169" a="1"/>
  <c r="D169" s="1"/>
  <c r="D168" s="1"/>
  <c r="E167" a="1"/>
  <c r="E167" s="1"/>
  <c r="D167" a="1"/>
  <c r="D167" s="1"/>
  <c r="E166" a="1"/>
  <c r="E166" s="1"/>
  <c r="D166" a="1"/>
  <c r="D166" s="1"/>
  <c r="E165" a="1"/>
  <c r="E165" s="1"/>
  <c r="E164" s="1"/>
  <c r="D165" a="1"/>
  <c r="D165" s="1"/>
  <c r="D164" s="1"/>
  <c r="E163" a="1"/>
  <c r="E163" s="1"/>
  <c r="D163" a="1"/>
  <c r="D163" s="1"/>
  <c r="E162" a="1"/>
  <c r="E162" s="1"/>
  <c r="D162" a="1"/>
  <c r="D162" s="1"/>
  <c r="E161" a="1"/>
  <c r="E161" s="1"/>
  <c r="D161" a="1"/>
  <c r="D161" s="1"/>
  <c r="E160" a="1"/>
  <c r="E160" s="1"/>
  <c r="D160" a="1"/>
  <c r="D160" s="1"/>
  <c r="E159" a="1"/>
  <c r="E159" s="1"/>
  <c r="E158" s="1"/>
  <c r="D159" a="1"/>
  <c r="D159" s="1"/>
  <c r="D158" s="1"/>
  <c r="E157" a="1"/>
  <c r="E157" s="1"/>
  <c r="D157" a="1"/>
  <c r="D157" s="1"/>
  <c r="E156" a="1"/>
  <c r="E156" s="1"/>
  <c r="D156" a="1"/>
  <c r="D156" s="1"/>
  <c r="E155" a="1"/>
  <c r="E155" s="1"/>
  <c r="E154" s="1"/>
  <c r="D155" a="1"/>
  <c r="D155" s="1"/>
  <c r="D154" s="1"/>
  <c r="C377" a="1"/>
  <c r="C377" s="1"/>
  <c r="B377" a="1"/>
  <c r="B377" s="1"/>
  <c r="C376" a="1"/>
  <c r="C376" s="1"/>
  <c r="B376" a="1"/>
  <c r="B376" s="1"/>
  <c r="C375" a="1"/>
  <c r="C375" s="1"/>
  <c r="B375" a="1"/>
  <c r="B375" s="1"/>
  <c r="C374" a="1"/>
  <c r="C374" s="1"/>
  <c r="B374" a="1"/>
  <c r="B374" s="1"/>
  <c r="C373" a="1"/>
  <c r="C373" s="1"/>
  <c r="C378" s="1"/>
  <c r="B373" a="1"/>
  <c r="B373" s="1"/>
  <c r="B378" s="1"/>
  <c r="C367" a="1"/>
  <c r="C367" s="1"/>
  <c r="B367" a="1"/>
  <c r="B367" s="1"/>
  <c r="C366" a="1"/>
  <c r="C366" s="1"/>
  <c r="B366" a="1"/>
  <c r="B366" s="1"/>
  <c r="C365" a="1"/>
  <c r="C365" s="1"/>
  <c r="B365" a="1"/>
  <c r="B365" s="1"/>
  <c r="C364" a="1"/>
  <c r="C364" s="1"/>
  <c r="B364" a="1"/>
  <c r="B364" s="1"/>
  <c r="C363" a="1"/>
  <c r="C363" s="1"/>
  <c r="B363" a="1"/>
  <c r="B363" s="1"/>
  <c r="C362" a="1"/>
  <c r="C362" s="1"/>
  <c r="B362" a="1"/>
  <c r="B362" s="1"/>
  <c r="C361" a="1"/>
  <c r="C361" s="1"/>
  <c r="B361" a="1"/>
  <c r="B361" s="1"/>
  <c r="C360" a="1"/>
  <c r="C360" s="1"/>
  <c r="B360" a="1"/>
  <c r="B360" s="1"/>
  <c r="C359" a="1"/>
  <c r="C359" s="1"/>
  <c r="B359" a="1"/>
  <c r="B359" s="1"/>
  <c r="C358" a="1"/>
  <c r="C358" s="1"/>
  <c r="B358" a="1"/>
  <c r="B358" s="1"/>
  <c r="C357" a="1"/>
  <c r="C357" s="1"/>
  <c r="B357" a="1"/>
  <c r="B357" s="1"/>
  <c r="C356" a="1"/>
  <c r="C356" s="1"/>
  <c r="B356" a="1"/>
  <c r="B356" s="1"/>
  <c r="C355" a="1"/>
  <c r="C355" s="1"/>
  <c r="C368" s="1"/>
  <c r="B355" a="1"/>
  <c r="B355" s="1"/>
  <c r="B368" s="1"/>
  <c r="C347"/>
  <c r="B347"/>
  <c r="C341"/>
  <c r="B341"/>
  <c r="C337"/>
  <c r="B337"/>
  <c r="C333"/>
  <c r="B333"/>
  <c r="C331" a="1"/>
  <c r="C331" s="1"/>
  <c r="B331" a="1"/>
  <c r="B331" s="1"/>
  <c r="C327" a="1"/>
  <c r="C327" s="1"/>
  <c r="B327" a="1"/>
  <c r="B327" s="1"/>
  <c r="C326" a="1"/>
  <c r="C326" s="1"/>
  <c r="B326" a="1"/>
  <c r="B326" s="1"/>
  <c r="C324" a="1"/>
  <c r="C324" s="1"/>
  <c r="B324" a="1"/>
  <c r="B324" s="1"/>
  <c r="C323" a="1"/>
  <c r="C323" s="1"/>
  <c r="B323" a="1"/>
  <c r="B323" s="1"/>
  <c r="C322" a="1"/>
  <c r="C322" s="1"/>
  <c r="B322" a="1"/>
  <c r="B322" s="1"/>
  <c r="C321" a="1"/>
  <c r="C321" s="1"/>
  <c r="B321" a="1"/>
  <c r="B321" s="1"/>
  <c r="C320" a="1"/>
  <c r="C320" s="1"/>
  <c r="C319" s="1"/>
  <c r="B320" a="1"/>
  <c r="B320" s="1"/>
  <c r="B319" s="1"/>
  <c r="C316" a="1"/>
  <c r="C316" s="1"/>
  <c r="C315" s="1"/>
  <c r="B316" a="1"/>
  <c r="B316" s="1"/>
  <c r="B315" s="1"/>
  <c r="C311"/>
  <c r="B311"/>
  <c r="C309" a="1"/>
  <c r="C309" s="1"/>
  <c r="B309" a="1"/>
  <c r="B309" s="1"/>
  <c r="C306" a="1"/>
  <c r="C306" s="1"/>
  <c r="B306" a="1"/>
  <c r="B306" s="1"/>
  <c r="C305" a="1"/>
  <c r="C305" s="1"/>
  <c r="B305" a="1"/>
  <c r="B305" s="1"/>
  <c r="C301" a="1"/>
  <c r="C301" s="1"/>
  <c r="B301" a="1"/>
  <c r="B301" s="1"/>
  <c r="C300" a="1"/>
  <c r="C300" s="1"/>
  <c r="B300" a="1"/>
  <c r="B300" s="1"/>
  <c r="C299" a="1"/>
  <c r="C299" s="1"/>
  <c r="B299" a="1"/>
  <c r="B299" s="1"/>
  <c r="C298" a="1"/>
  <c r="C298" s="1"/>
  <c r="B298" a="1"/>
  <c r="B298" s="1"/>
  <c r="C297" a="1"/>
  <c r="C297" s="1"/>
  <c r="B297" a="1"/>
  <c r="B297" s="1"/>
  <c r="C296" a="1"/>
  <c r="C296" s="1"/>
  <c r="C295" s="1"/>
  <c r="B296" a="1"/>
  <c r="B296" s="1"/>
  <c r="B295" s="1"/>
  <c r="C293" a="1"/>
  <c r="C293" s="1"/>
  <c r="B293" a="1"/>
  <c r="B293" s="1"/>
  <c r="C291" a="1"/>
  <c r="C291" s="1"/>
  <c r="B291" a="1"/>
  <c r="B291" s="1"/>
  <c r="C290" a="1"/>
  <c r="C290" s="1"/>
  <c r="C289" s="1"/>
  <c r="B290" a="1"/>
  <c r="B290" s="1"/>
  <c r="B289" s="1"/>
  <c r="C287" a="1"/>
  <c r="C287" s="1"/>
  <c r="C286" s="1"/>
  <c r="B287" a="1"/>
  <c r="B287" s="1"/>
  <c r="B286" s="1"/>
  <c r="C285" a="1"/>
  <c r="C285" s="1"/>
  <c r="C282" s="1"/>
  <c r="B285" a="1"/>
  <c r="B285" s="1"/>
  <c r="B282" s="1"/>
  <c r="C281" a="1"/>
  <c r="C281" s="1"/>
  <c r="B281" a="1"/>
  <c r="B281" s="1"/>
  <c r="C280" a="1"/>
  <c r="C280" s="1"/>
  <c r="C278" s="1"/>
  <c r="B280" a="1"/>
  <c r="B280" s="1"/>
  <c r="B278" s="1"/>
  <c r="C276" a="1"/>
  <c r="C276" s="1"/>
  <c r="C275" s="1"/>
  <c r="B276" a="1"/>
  <c r="B276" s="1"/>
  <c r="B275" s="1"/>
  <c r="C266" a="1"/>
  <c r="C266" s="1"/>
  <c r="B266" a="1"/>
  <c r="B266" s="1"/>
  <c r="C265" a="1"/>
  <c r="C265" s="1"/>
  <c r="C264" s="1"/>
  <c r="C238" s="1"/>
  <c r="B265" a="1"/>
  <c r="B265" s="1"/>
  <c r="B264" s="1"/>
  <c r="B238" s="1"/>
  <c r="C258"/>
  <c r="B258"/>
  <c r="C254"/>
  <c r="B254"/>
  <c r="C250"/>
  <c r="B250"/>
  <c r="C248" a="1"/>
  <c r="C248" s="1"/>
  <c r="B248" a="1"/>
  <c r="B248" s="1"/>
  <c r="C244" a="1"/>
  <c r="C244" s="1"/>
  <c r="B244" a="1"/>
  <c r="B244" s="1"/>
  <c r="C243" a="1"/>
  <c r="C243" s="1"/>
  <c r="B243" a="1"/>
  <c r="B243" s="1"/>
  <c r="C241" a="1"/>
  <c r="C241" s="1"/>
  <c r="B241" a="1"/>
  <c r="B241" s="1"/>
  <c r="C240" a="1"/>
  <c r="C240" s="1"/>
  <c r="B240" a="1"/>
  <c r="B240" s="1"/>
  <c r="C239" a="1"/>
  <c r="C239" s="1"/>
  <c r="B239" a="1"/>
  <c r="B239" s="1"/>
  <c r="C237" a="1"/>
  <c r="C237" s="1"/>
  <c r="C236" s="1"/>
  <c r="B237" a="1"/>
  <c r="B237" s="1"/>
  <c r="B236" s="1"/>
  <c r="C233" a="1"/>
  <c r="C233" s="1"/>
  <c r="C232" s="1"/>
  <c r="B233" a="1"/>
  <c r="B233" s="1"/>
  <c r="B232" s="1"/>
  <c r="C228"/>
  <c r="B228"/>
  <c r="C226" a="1"/>
  <c r="C226" s="1"/>
  <c r="B226" a="1"/>
  <c r="B226" s="1"/>
  <c r="C222" a="1"/>
  <c r="C222" s="1"/>
  <c r="B222" a="1"/>
  <c r="B222" s="1"/>
  <c r="C221" a="1"/>
  <c r="C221" s="1"/>
  <c r="B221" a="1"/>
  <c r="B221" s="1"/>
  <c r="C218" a="1"/>
  <c r="C218" s="1"/>
  <c r="B218" a="1"/>
  <c r="B218" s="1"/>
  <c r="C217" a="1"/>
  <c r="C217" s="1"/>
  <c r="B217" a="1"/>
  <c r="B217" s="1"/>
  <c r="C216" a="1"/>
  <c r="C216" s="1"/>
  <c r="B216" a="1"/>
  <c r="B216" s="1"/>
  <c r="C215" a="1"/>
  <c r="C215" s="1"/>
  <c r="B215" a="1"/>
  <c r="B215" s="1"/>
  <c r="C214" a="1"/>
  <c r="C214" s="1"/>
  <c r="B214" a="1"/>
  <c r="B214" s="1"/>
  <c r="C213" a="1"/>
  <c r="C213" s="1"/>
  <c r="C212" s="1"/>
  <c r="B213" a="1"/>
  <c r="B213" s="1"/>
  <c r="B212" s="1"/>
  <c r="C210" a="1"/>
  <c r="C210" s="1"/>
  <c r="B210" a="1"/>
  <c r="B210" s="1"/>
  <c r="C208" a="1"/>
  <c r="C208" s="1"/>
  <c r="B208" a="1"/>
  <c r="B208" s="1"/>
  <c r="C207" a="1"/>
  <c r="C207" s="1"/>
  <c r="C206" s="1"/>
  <c r="B207" a="1"/>
  <c r="B207" s="1"/>
  <c r="B206" s="1"/>
  <c r="C204" a="1"/>
  <c r="C204" s="1"/>
  <c r="C203" s="1"/>
  <c r="B204" a="1"/>
  <c r="B204" s="1"/>
  <c r="B203" s="1"/>
  <c r="C202" a="1"/>
  <c r="C202" s="1"/>
  <c r="C199" s="1"/>
  <c r="B202" a="1"/>
  <c r="B202" s="1"/>
  <c r="B199" s="1"/>
  <c r="C198" a="1"/>
  <c r="C198" s="1"/>
  <c r="B198" a="1"/>
  <c r="B198" s="1"/>
  <c r="C197" a="1"/>
  <c r="C197" s="1"/>
  <c r="C195" s="1"/>
  <c r="B197" a="1"/>
  <c r="B197" s="1"/>
  <c r="B195" s="1"/>
  <c r="C193" a="1"/>
  <c r="C193" s="1"/>
  <c r="C192" s="1"/>
  <c r="B193" a="1"/>
  <c r="B193" s="1"/>
  <c r="B192" s="1"/>
  <c r="C173" a="1"/>
  <c r="C173" s="1"/>
  <c r="B173" a="1"/>
  <c r="B173" s="1"/>
  <c r="C172" a="1"/>
  <c r="C172" s="1"/>
  <c r="B172" a="1"/>
  <c r="B172" s="1"/>
  <c r="C171" a="1"/>
  <c r="C171" s="1"/>
  <c r="B171" a="1"/>
  <c r="B171" s="1"/>
  <c r="C170" a="1"/>
  <c r="C170" s="1"/>
  <c r="B170" a="1"/>
  <c r="B170" s="1"/>
  <c r="C169" a="1"/>
  <c r="C169" s="1"/>
  <c r="C168" s="1"/>
  <c r="B169" a="1"/>
  <c r="B169" s="1"/>
  <c r="B168" s="1"/>
  <c r="C167" a="1"/>
  <c r="C167" s="1"/>
  <c r="B167" a="1"/>
  <c r="B167" s="1"/>
  <c r="C166" a="1"/>
  <c r="C166" s="1"/>
  <c r="B166" a="1"/>
  <c r="B166" s="1"/>
  <c r="C165" a="1"/>
  <c r="C165" s="1"/>
  <c r="C164" s="1"/>
  <c r="B165" a="1"/>
  <c r="B165" s="1"/>
  <c r="B164" s="1"/>
  <c r="C163" a="1"/>
  <c r="C163" s="1"/>
  <c r="B163" a="1"/>
  <c r="B163" s="1"/>
  <c r="C162" a="1"/>
  <c r="C162" s="1"/>
  <c r="B162" a="1"/>
  <c r="B162" s="1"/>
  <c r="C161" a="1"/>
  <c r="C161" s="1"/>
  <c r="B161" a="1"/>
  <c r="B161" s="1"/>
  <c r="C160" a="1"/>
  <c r="C160" s="1"/>
  <c r="B160" a="1"/>
  <c r="B160" s="1"/>
  <c r="C159" a="1"/>
  <c r="C159" s="1"/>
  <c r="C158" s="1"/>
  <c r="B159" a="1"/>
  <c r="B159" s="1"/>
  <c r="B158" s="1"/>
  <c r="C157" a="1"/>
  <c r="C157" s="1"/>
  <c r="B157" a="1"/>
  <c r="B157" s="1"/>
  <c r="C156" a="1"/>
  <c r="C156" s="1"/>
  <c r="B156" a="1"/>
  <c r="B156" s="1"/>
  <c r="C155" a="1"/>
  <c r="C155" s="1"/>
  <c r="C154" s="1"/>
  <c r="B155" a="1"/>
  <c r="B155" s="1"/>
  <c r="B154" s="1"/>
  <c r="AO341"/>
  <c r="AN341"/>
  <c r="AO337"/>
  <c r="AN337"/>
  <c r="AO333"/>
  <c r="AN333"/>
  <c r="AO311"/>
  <c r="AN311"/>
  <c r="AO258"/>
  <c r="AN258"/>
  <c r="AO254"/>
  <c r="AN254"/>
  <c r="AO250"/>
  <c r="AN250"/>
  <c r="AO228"/>
  <c r="AN228"/>
  <c r="F377" a="1"/>
  <c r="F377" s="1"/>
  <c r="F376" a="1"/>
  <c r="F376" s="1"/>
  <c r="F375" a="1"/>
  <c r="F375" s="1"/>
  <c r="F374" a="1"/>
  <c r="F374" s="1"/>
  <c r="F373" a="1"/>
  <c r="F373" s="1"/>
  <c r="F378" s="1"/>
  <c r="F347"/>
  <c r="H341"/>
  <c r="F341"/>
  <c r="H337"/>
  <c r="F337"/>
  <c r="H333"/>
  <c r="F333"/>
  <c r="F331" a="1"/>
  <c r="F331" s="1"/>
  <c r="F327" a="1"/>
  <c r="F327" s="1"/>
  <c r="F326" a="1"/>
  <c r="F326" s="1"/>
  <c r="F324" a="1"/>
  <c r="F324" s="1"/>
  <c r="F323" a="1"/>
  <c r="F323" s="1"/>
  <c r="F322" a="1"/>
  <c r="F322" s="1"/>
  <c r="F321" a="1"/>
  <c r="F321" s="1"/>
  <c r="F320" a="1"/>
  <c r="F320" s="1"/>
  <c r="F319" s="1"/>
  <c r="F316" a="1"/>
  <c r="F316" s="1"/>
  <c r="F315" s="1"/>
  <c r="H311"/>
  <c r="F311"/>
  <c r="F309" a="1"/>
  <c r="F309" s="1"/>
  <c r="F306" a="1"/>
  <c r="F306" s="1"/>
  <c r="F305" a="1"/>
  <c r="F305" s="1"/>
  <c r="F301" a="1"/>
  <c r="F301" s="1"/>
  <c r="F300" a="1"/>
  <c r="F300" s="1"/>
  <c r="F299" a="1"/>
  <c r="F299" s="1"/>
  <c r="F298" a="1"/>
  <c r="F298" s="1"/>
  <c r="F297" a="1"/>
  <c r="F297" s="1"/>
  <c r="F296" a="1"/>
  <c r="F296" s="1"/>
  <c r="F295" s="1"/>
  <c r="F293" a="1"/>
  <c r="F293" s="1"/>
  <c r="F291" a="1"/>
  <c r="F291" s="1"/>
  <c r="F290" a="1"/>
  <c r="F290" s="1"/>
  <c r="F289" s="1"/>
  <c r="F287" a="1"/>
  <c r="F287" s="1"/>
  <c r="F286" s="1"/>
  <c r="F285" a="1"/>
  <c r="F285" s="1"/>
  <c r="F282" s="1"/>
  <c r="F281" a="1"/>
  <c r="F281" s="1"/>
  <c r="F280" a="1"/>
  <c r="F280" s="1"/>
  <c r="F278" s="1"/>
  <c r="F276" a="1"/>
  <c r="F276" s="1"/>
  <c r="F275" s="1"/>
  <c r="F266" a="1"/>
  <c r="F266" s="1"/>
  <c r="F265" a="1"/>
  <c r="F265" s="1"/>
  <c r="F264" s="1"/>
  <c r="F238" s="1"/>
  <c r="H258"/>
  <c r="F258"/>
  <c r="H254"/>
  <c r="F254"/>
  <c r="H250"/>
  <c r="F250"/>
  <c r="F248" a="1"/>
  <c r="F248" s="1"/>
  <c r="F244" a="1"/>
  <c r="F244" s="1"/>
  <c r="F243" a="1"/>
  <c r="F243" s="1"/>
  <c r="F241" a="1"/>
  <c r="F241" s="1"/>
  <c r="F240" a="1"/>
  <c r="F240" s="1"/>
  <c r="F239" a="1"/>
  <c r="F239" s="1"/>
  <c r="F237" a="1"/>
  <c r="F237" s="1"/>
  <c r="F236" s="1"/>
  <c r="F233" a="1"/>
  <c r="F233" s="1"/>
  <c r="F232" s="1"/>
  <c r="H228"/>
  <c r="F228"/>
  <c r="F226" a="1"/>
  <c r="F226" s="1"/>
  <c r="F222" a="1"/>
  <c r="F222" s="1"/>
  <c r="F221" a="1"/>
  <c r="F221" s="1"/>
  <c r="F218" a="1"/>
  <c r="F218" s="1"/>
  <c r="F217" a="1"/>
  <c r="F217" s="1"/>
  <c r="F216" a="1"/>
  <c r="F216" s="1"/>
  <c r="F215" a="1"/>
  <c r="F215" s="1"/>
  <c r="F214" a="1"/>
  <c r="F214" s="1"/>
  <c r="F213" a="1"/>
  <c r="F213" s="1"/>
  <c r="F212" s="1"/>
  <c r="F210" a="1"/>
  <c r="F210" s="1"/>
  <c r="F208" a="1"/>
  <c r="F208" s="1"/>
  <c r="F207" a="1"/>
  <c r="F207" s="1"/>
  <c r="F206" s="1"/>
  <c r="F204" a="1"/>
  <c r="F204" s="1"/>
  <c r="F203" s="1"/>
  <c r="F202" a="1"/>
  <c r="F202" s="1"/>
  <c r="F199" s="1"/>
  <c r="F198" a="1"/>
  <c r="F198" s="1"/>
  <c r="F197" a="1"/>
  <c r="F197" s="1"/>
  <c r="F195" s="1"/>
  <c r="F193" a="1"/>
  <c r="F193" s="1"/>
  <c r="F192" s="1"/>
  <c r="F173" a="1"/>
  <c r="F173" s="1"/>
  <c r="F172" a="1"/>
  <c r="F172" s="1"/>
  <c r="F171" a="1"/>
  <c r="F171" s="1"/>
  <c r="F170" a="1"/>
  <c r="F170" s="1"/>
  <c r="F169" a="1"/>
  <c r="F169" s="1"/>
  <c r="F168" s="1"/>
  <c r="F167" a="1"/>
  <c r="F167" s="1"/>
  <c r="F166" a="1"/>
  <c r="F166" s="1"/>
  <c r="F165" a="1"/>
  <c r="F165" s="1"/>
  <c r="F164" s="1"/>
  <c r="F163" a="1"/>
  <c r="F163" s="1"/>
  <c r="F162" a="1"/>
  <c r="F162" s="1"/>
  <c r="F161" a="1"/>
  <c r="F161" s="1"/>
  <c r="F160" a="1"/>
  <c r="F160" s="1"/>
  <c r="F159" a="1"/>
  <c r="F159" s="1"/>
  <c r="F158" s="1"/>
  <c r="F157" a="1"/>
  <c r="F157" s="1"/>
  <c r="F156" a="1"/>
  <c r="F156" s="1"/>
  <c r="F155" a="1"/>
  <c r="F155" s="1"/>
  <c r="F154" s="1"/>
  <c r="DU79" i="2"/>
  <c r="DU44"/>
  <c r="DW53"/>
  <c r="AJ53"/>
  <c r="AH53"/>
  <c r="H129" i="3"/>
  <c r="H131" s="1"/>
  <c r="AN129"/>
  <c r="AN131" s="1"/>
  <c r="F129"/>
  <c r="E129"/>
  <c r="DW140" i="2"/>
  <c r="DW8"/>
  <c r="DW14"/>
  <c r="DW46"/>
  <c r="DW68"/>
  <c r="DW92"/>
  <c r="DW130"/>
  <c r="AK99"/>
  <c r="E132" i="3"/>
  <c r="AJ154" i="2"/>
  <c r="AH154"/>
  <c r="AG50"/>
  <c r="AI50" s="1"/>
  <c r="AJ102"/>
  <c r="AJ92"/>
  <c r="AE37"/>
  <c r="AG37" s="1"/>
  <c r="AI37" s="1"/>
  <c r="AH102"/>
  <c r="AJ68"/>
  <c r="AH68"/>
  <c r="AG67"/>
  <c r="AI67" s="1"/>
  <c r="AG66"/>
  <c r="AI66" s="1"/>
  <c r="AG99"/>
  <c r="AI99" s="1"/>
  <c r="AK135"/>
  <c r="AK134"/>
  <c r="AH80"/>
  <c r="AG100"/>
  <c r="AI100" s="1"/>
  <c r="AJ46"/>
  <c r="AH46"/>
  <c r="AI128"/>
  <c r="AI127"/>
  <c r="AI126"/>
  <c r="AI125"/>
  <c r="AI124"/>
  <c r="AI123"/>
  <c r="AI122"/>
  <c r="AI121"/>
  <c r="AI120"/>
  <c r="AJ130"/>
  <c r="AH130"/>
  <c r="AJ14"/>
  <c r="AJ8"/>
  <c r="CE118"/>
  <c r="CE130" s="1"/>
  <c r="G14" i="3"/>
  <c r="G6"/>
  <c r="AG133" i="2"/>
  <c r="AI133" s="1"/>
  <c r="AG109"/>
  <c r="AG95"/>
  <c r="AG71"/>
  <c r="AI71" s="1"/>
  <c r="AG49"/>
  <c r="AI49" s="1"/>
  <c r="AI56"/>
  <c r="AG17"/>
  <c r="AI17" s="1"/>
  <c r="DM8"/>
  <c r="DK8"/>
  <c r="DI8"/>
  <c r="DG8"/>
  <c r="DE8"/>
  <c r="DC8"/>
  <c r="DA8"/>
  <c r="CY8"/>
  <c r="CX8"/>
  <c r="CV8"/>
  <c r="CU8"/>
  <c r="CS8"/>
  <c r="CR8"/>
  <c r="CN8"/>
  <c r="CM8"/>
  <c r="CK8"/>
  <c r="CI8"/>
  <c r="CF8"/>
  <c r="CE8"/>
  <c r="AK8"/>
  <c r="AH8"/>
  <c r="AG7"/>
  <c r="AI153"/>
  <c r="AI86"/>
  <c r="AI79"/>
  <c r="AI78"/>
  <c r="AI77"/>
  <c r="AI74"/>
  <c r="AH14"/>
  <c r="CF14"/>
  <c r="CE14"/>
  <c r="AK14"/>
  <c r="CE152"/>
  <c r="AK150"/>
  <c r="CI14"/>
  <c r="CI46"/>
  <c r="CI53"/>
  <c r="CI68"/>
  <c r="CI92"/>
  <c r="CI102"/>
  <c r="CI130"/>
  <c r="CI154"/>
  <c r="DN98"/>
  <c r="DN97"/>
  <c r="DN96"/>
  <c r="DP92"/>
  <c r="CY14"/>
  <c r="CY46"/>
  <c r="CY53"/>
  <c r="CY68"/>
  <c r="CY92"/>
  <c r="CY102"/>
  <c r="CY130"/>
  <c r="CY154"/>
  <c r="CZ135"/>
  <c r="CZ136"/>
  <c r="DO136" s="1"/>
  <c r="CZ137"/>
  <c r="CZ140"/>
  <c r="CZ141"/>
  <c r="CZ142"/>
  <c r="CZ150"/>
  <c r="CZ152"/>
  <c r="CZ153"/>
  <c r="DO153" s="1"/>
  <c r="DT153" s="1"/>
  <c r="CZ134"/>
  <c r="CZ114"/>
  <c r="CZ115"/>
  <c r="CZ118"/>
  <c r="CZ119"/>
  <c r="CZ96"/>
  <c r="CZ97"/>
  <c r="CZ98"/>
  <c r="CZ74"/>
  <c r="CZ76"/>
  <c r="CZ77"/>
  <c r="CZ78"/>
  <c r="CZ79"/>
  <c r="CZ80"/>
  <c r="CZ82"/>
  <c r="CZ83"/>
  <c r="CZ84"/>
  <c r="CZ87"/>
  <c r="CZ88"/>
  <c r="CZ89"/>
  <c r="CZ72"/>
  <c r="CZ57"/>
  <c r="CZ58"/>
  <c r="CZ60"/>
  <c r="CZ61"/>
  <c r="CZ63"/>
  <c r="CZ64"/>
  <c r="CZ65"/>
  <c r="CZ18"/>
  <c r="CZ22"/>
  <c r="CZ33"/>
  <c r="CZ35"/>
  <c r="CZ38"/>
  <c r="CZ39"/>
  <c r="CZ40"/>
  <c r="CZ42"/>
  <c r="CZ24"/>
  <c r="CZ25"/>
  <c r="CZ26"/>
  <c r="CZ30"/>
  <c r="CZ20"/>
  <c r="CZ21"/>
  <c r="CZ41"/>
  <c r="CZ31"/>
  <c r="CZ32"/>
  <c r="CZ28"/>
  <c r="CZ27"/>
  <c r="CZ43"/>
  <c r="CZ44"/>
  <c r="CZ34"/>
  <c r="CZ29"/>
  <c r="CZ45"/>
  <c r="CZ36"/>
  <c r="CZ19"/>
  <c r="CZ12"/>
  <c r="CZ13"/>
  <c r="DO13" s="1"/>
  <c r="CZ11"/>
  <c r="DN153"/>
  <c r="CK154"/>
  <c r="CM154"/>
  <c r="CN154"/>
  <c r="CR154"/>
  <c r="CS154"/>
  <c r="CU154"/>
  <c r="CV154"/>
  <c r="CX154"/>
  <c r="DA154"/>
  <c r="DC154"/>
  <c r="DE154"/>
  <c r="DG154"/>
  <c r="DI154"/>
  <c r="DK154"/>
  <c r="DM154"/>
  <c r="DP154"/>
  <c r="CM130"/>
  <c r="CN130"/>
  <c r="CR130"/>
  <c r="CS130"/>
  <c r="CU130"/>
  <c r="CV130"/>
  <c r="CX130"/>
  <c r="DA130"/>
  <c r="DC130"/>
  <c r="DE130"/>
  <c r="DG130"/>
  <c r="DI130"/>
  <c r="DK130"/>
  <c r="DM130"/>
  <c r="DP130"/>
  <c r="CK102"/>
  <c r="CM102"/>
  <c r="CN102"/>
  <c r="CR102"/>
  <c r="CS102"/>
  <c r="CU102"/>
  <c r="CV102"/>
  <c r="CX102"/>
  <c r="DA102"/>
  <c r="DC102"/>
  <c r="DE102"/>
  <c r="DG102"/>
  <c r="DI102"/>
  <c r="DK102"/>
  <c r="DM102"/>
  <c r="DP102"/>
  <c r="CM92"/>
  <c r="CN92"/>
  <c r="CR92"/>
  <c r="CS92"/>
  <c r="CU92"/>
  <c r="CV92"/>
  <c r="DA92"/>
  <c r="DC92"/>
  <c r="DE92"/>
  <c r="DG92"/>
  <c r="DI92"/>
  <c r="DK92"/>
  <c r="DM92"/>
  <c r="CK68"/>
  <c r="CM68"/>
  <c r="CN68"/>
  <c r="CR68"/>
  <c r="CS68"/>
  <c r="CU68"/>
  <c r="CV68"/>
  <c r="CX68"/>
  <c r="DA68"/>
  <c r="DC68"/>
  <c r="DE68"/>
  <c r="DG68"/>
  <c r="DI68"/>
  <c r="DK68"/>
  <c r="DM68"/>
  <c r="DP68"/>
  <c r="CK53"/>
  <c r="CM53"/>
  <c r="CN53"/>
  <c r="CR53"/>
  <c r="CS53"/>
  <c r="CU53"/>
  <c r="CV53"/>
  <c r="CX53"/>
  <c r="DA53"/>
  <c r="DC53"/>
  <c r="DE53"/>
  <c r="DG53"/>
  <c r="DI53"/>
  <c r="DK53"/>
  <c r="DM53"/>
  <c r="DP53"/>
  <c r="CK46"/>
  <c r="CM46"/>
  <c r="CN46"/>
  <c r="CR46"/>
  <c r="CS46"/>
  <c r="CU46"/>
  <c r="CV46"/>
  <c r="CX46"/>
  <c r="DA46"/>
  <c r="DC46"/>
  <c r="DE46"/>
  <c r="DG46"/>
  <c r="DI46"/>
  <c r="DK46"/>
  <c r="DM46"/>
  <c r="DP46"/>
  <c r="CK14"/>
  <c r="CM14"/>
  <c r="CN14"/>
  <c r="CR14"/>
  <c r="CS14"/>
  <c r="CU14"/>
  <c r="CV14"/>
  <c r="CX14"/>
  <c r="DA14"/>
  <c r="DC14"/>
  <c r="DE14"/>
  <c r="DG14"/>
  <c r="DI14"/>
  <c r="DK14"/>
  <c r="DM14"/>
  <c r="DP14"/>
  <c r="DP8"/>
  <c r="AG136"/>
  <c r="DS136" s="1"/>
  <c r="AG84"/>
  <c r="AI84" s="1"/>
  <c r="AF46"/>
  <c r="AF8"/>
  <c r="AF154"/>
  <c r="AF130"/>
  <c r="AF102"/>
  <c r="AF68"/>
  <c r="AF53"/>
  <c r="AF14"/>
  <c r="AG13"/>
  <c r="AI13" s="1"/>
  <c r="AE135"/>
  <c r="AG135" s="1"/>
  <c r="AI135" s="1"/>
  <c r="DN74"/>
  <c r="DQ74" s="1"/>
  <c r="DN76"/>
  <c r="DN77"/>
  <c r="DQ77" s="1"/>
  <c r="DN78"/>
  <c r="DQ78" s="1"/>
  <c r="DN80"/>
  <c r="DN82"/>
  <c r="DN83"/>
  <c r="DN84"/>
  <c r="DN87"/>
  <c r="DN88"/>
  <c r="DN89"/>
  <c r="CX92"/>
  <c r="CW135"/>
  <c r="CW137"/>
  <c r="CW140"/>
  <c r="CW141"/>
  <c r="CW142"/>
  <c r="CW150"/>
  <c r="CW152"/>
  <c r="CW134"/>
  <c r="CW114"/>
  <c r="CW115"/>
  <c r="CW118"/>
  <c r="CW119"/>
  <c r="CW96"/>
  <c r="CW97"/>
  <c r="CW98"/>
  <c r="CW74"/>
  <c r="CW76"/>
  <c r="CW77"/>
  <c r="CW78"/>
  <c r="CW79"/>
  <c r="CW80"/>
  <c r="CW82"/>
  <c r="CW83"/>
  <c r="CW84"/>
  <c r="CW86"/>
  <c r="CW87"/>
  <c r="CW88"/>
  <c r="CW89"/>
  <c r="CW72"/>
  <c r="CW57"/>
  <c r="CW58"/>
  <c r="CW60"/>
  <c r="CW61"/>
  <c r="CW63"/>
  <c r="CW64"/>
  <c r="CW65"/>
  <c r="CW18"/>
  <c r="CW22"/>
  <c r="CW33"/>
  <c r="CW35"/>
  <c r="CW38"/>
  <c r="CW39"/>
  <c r="CW40"/>
  <c r="CW42"/>
  <c r="CW24"/>
  <c r="CW25"/>
  <c r="CW26"/>
  <c r="CW30"/>
  <c r="CW20"/>
  <c r="CW21"/>
  <c r="CW41"/>
  <c r="CW31"/>
  <c r="CW32"/>
  <c r="CW28"/>
  <c r="CW27"/>
  <c r="CW43"/>
  <c r="CW44"/>
  <c r="CW34"/>
  <c r="CW29"/>
  <c r="CW45"/>
  <c r="CW36"/>
  <c r="CW19"/>
  <c r="CW12"/>
  <c r="CW11"/>
  <c r="CT11"/>
  <c r="CT12"/>
  <c r="CT19"/>
  <c r="CT18"/>
  <c r="CT22"/>
  <c r="CT33"/>
  <c r="CT35"/>
  <c r="CT38"/>
  <c r="CT39"/>
  <c r="CT40"/>
  <c r="CT42"/>
  <c r="CT24"/>
  <c r="CT25"/>
  <c r="CT26"/>
  <c r="CT30"/>
  <c r="CT20"/>
  <c r="CT21"/>
  <c r="CT41"/>
  <c r="CT31"/>
  <c r="CT32"/>
  <c r="CT28"/>
  <c r="CT27"/>
  <c r="CT43"/>
  <c r="CT44"/>
  <c r="CT34"/>
  <c r="CT29"/>
  <c r="CT45"/>
  <c r="CT36"/>
  <c r="CT57"/>
  <c r="CT58"/>
  <c r="CT60"/>
  <c r="CT61"/>
  <c r="CT63"/>
  <c r="CT64"/>
  <c r="CT65"/>
  <c r="CT72"/>
  <c r="CT74"/>
  <c r="CT76"/>
  <c r="CT78"/>
  <c r="CT80"/>
  <c r="CT82"/>
  <c r="CT83"/>
  <c r="CT84"/>
  <c r="CT86"/>
  <c r="CT87"/>
  <c r="CT88"/>
  <c r="CT89"/>
  <c r="CT96"/>
  <c r="CT97"/>
  <c r="CT98"/>
  <c r="CT114"/>
  <c r="CT115"/>
  <c r="CT118"/>
  <c r="CT119"/>
  <c r="CT134"/>
  <c r="CT135"/>
  <c r="CT137"/>
  <c r="CT140"/>
  <c r="CT141"/>
  <c r="CT142"/>
  <c r="CT150"/>
  <c r="CT152"/>
  <c r="AC84"/>
  <c r="DN19"/>
  <c r="DN18"/>
  <c r="DN22"/>
  <c r="DN33"/>
  <c r="DN35"/>
  <c r="DN38"/>
  <c r="DN39"/>
  <c r="DN40"/>
  <c r="DN42"/>
  <c r="DN24"/>
  <c r="DN25"/>
  <c r="DN26"/>
  <c r="DN30"/>
  <c r="DN20"/>
  <c r="DN21"/>
  <c r="DN41"/>
  <c r="DN31"/>
  <c r="DN32"/>
  <c r="DN28"/>
  <c r="DN27"/>
  <c r="DN43"/>
  <c r="DN44"/>
  <c r="DN34"/>
  <c r="DN29"/>
  <c r="DN45"/>
  <c r="DN36"/>
  <c r="CO135"/>
  <c r="CO137"/>
  <c r="CO140"/>
  <c r="CO141"/>
  <c r="CO142"/>
  <c r="CO150"/>
  <c r="CO152"/>
  <c r="CO134"/>
  <c r="CO114"/>
  <c r="CO115"/>
  <c r="CO118"/>
  <c r="CO119"/>
  <c r="CO96"/>
  <c r="CO97"/>
  <c r="CO98"/>
  <c r="CO74"/>
  <c r="CO76"/>
  <c r="CO77"/>
  <c r="CO78"/>
  <c r="CO80"/>
  <c r="CO82"/>
  <c r="CO83"/>
  <c r="CO84"/>
  <c r="CO86"/>
  <c r="CO87"/>
  <c r="CO88"/>
  <c r="CO89"/>
  <c r="CO72"/>
  <c r="CO57"/>
  <c r="CO58"/>
  <c r="CO60"/>
  <c r="CO61"/>
  <c r="CO63"/>
  <c r="CO64"/>
  <c r="CO65"/>
  <c r="CO18"/>
  <c r="CO22"/>
  <c r="CO33"/>
  <c r="CO35"/>
  <c r="CO38"/>
  <c r="CO39"/>
  <c r="CO40"/>
  <c r="CO42"/>
  <c r="CO24"/>
  <c r="CO25"/>
  <c r="CO26"/>
  <c r="CO30"/>
  <c r="CO20"/>
  <c r="CO21"/>
  <c r="CO41"/>
  <c r="CO31"/>
  <c r="CO32"/>
  <c r="CO28"/>
  <c r="CO27"/>
  <c r="CO43"/>
  <c r="CO44"/>
  <c r="CO34"/>
  <c r="CO29"/>
  <c r="CO45"/>
  <c r="CO36"/>
  <c r="CO19"/>
  <c r="CO12"/>
  <c r="CO11"/>
  <c r="CK92"/>
  <c r="AE134"/>
  <c r="AG134" s="1"/>
  <c r="AI134" s="1"/>
  <c r="CP11"/>
  <c r="CP12"/>
  <c r="CP19"/>
  <c r="CP18"/>
  <c r="CP22"/>
  <c r="CP33"/>
  <c r="CP35"/>
  <c r="CP38"/>
  <c r="CP39"/>
  <c r="CP40"/>
  <c r="CP42"/>
  <c r="CP24"/>
  <c r="CP25"/>
  <c r="CP26"/>
  <c r="CP30"/>
  <c r="CP20"/>
  <c r="CP21"/>
  <c r="CP41"/>
  <c r="CP31"/>
  <c r="CP32"/>
  <c r="CP28"/>
  <c r="CP27"/>
  <c r="CP43"/>
  <c r="CP44"/>
  <c r="CP34"/>
  <c r="CP29"/>
  <c r="CP45"/>
  <c r="CP36"/>
  <c r="CP57"/>
  <c r="CP58"/>
  <c r="CP60"/>
  <c r="CP61"/>
  <c r="CP63"/>
  <c r="CP64"/>
  <c r="CP65"/>
  <c r="CP74"/>
  <c r="CP76"/>
  <c r="CP77"/>
  <c r="CP78"/>
  <c r="CP80"/>
  <c r="CP82"/>
  <c r="CP83"/>
  <c r="CP84"/>
  <c r="CP86"/>
  <c r="CP87"/>
  <c r="CP88"/>
  <c r="CP89"/>
  <c r="CP96"/>
  <c r="CP97"/>
  <c r="CP98"/>
  <c r="CP114"/>
  <c r="CP115"/>
  <c r="CP118"/>
  <c r="CP119"/>
  <c r="CP134"/>
  <c r="CP135"/>
  <c r="CP137"/>
  <c r="CP140"/>
  <c r="CP141"/>
  <c r="CP142"/>
  <c r="CP150"/>
  <c r="CP152"/>
  <c r="CP72"/>
  <c r="AC89"/>
  <c r="AE89" s="1"/>
  <c r="AG89" s="1"/>
  <c r="AI89" s="1"/>
  <c r="CL80"/>
  <c r="CL88"/>
  <c r="CL135"/>
  <c r="CL137"/>
  <c r="CL72"/>
  <c r="CL35"/>
  <c r="DL9"/>
  <c r="DL10"/>
  <c r="DL11"/>
  <c r="DL12"/>
  <c r="DL15"/>
  <c r="DL16"/>
  <c r="DL19"/>
  <c r="DL18"/>
  <c r="DL22"/>
  <c r="DL33"/>
  <c r="DL35"/>
  <c r="DL38"/>
  <c r="DL39"/>
  <c r="DL40"/>
  <c r="DL42"/>
  <c r="DL24"/>
  <c r="DL25"/>
  <c r="DL26"/>
  <c r="DL30"/>
  <c r="DL20"/>
  <c r="DL21"/>
  <c r="DL41"/>
  <c r="DL31"/>
  <c r="DL32"/>
  <c r="DL28"/>
  <c r="DL27"/>
  <c r="DL43"/>
  <c r="DL44"/>
  <c r="DL34"/>
  <c r="DL29"/>
  <c r="DL45"/>
  <c r="DL36"/>
  <c r="DL47"/>
  <c r="DL48"/>
  <c r="DL54"/>
  <c r="DL55"/>
  <c r="DL57"/>
  <c r="DL58"/>
  <c r="DL60"/>
  <c r="DL61"/>
  <c r="DL63"/>
  <c r="DL64"/>
  <c r="DL65"/>
  <c r="DL69"/>
  <c r="DL70"/>
  <c r="DL72"/>
  <c r="DL76"/>
  <c r="DL77"/>
  <c r="DL80"/>
  <c r="DL82"/>
  <c r="DL83"/>
  <c r="DL84"/>
  <c r="DL86"/>
  <c r="DL87"/>
  <c r="DL88"/>
  <c r="DL89"/>
  <c r="DL93"/>
  <c r="DL94"/>
  <c r="DL96"/>
  <c r="DL97"/>
  <c r="DL98"/>
  <c r="DL103"/>
  <c r="DL108"/>
  <c r="DL114"/>
  <c r="DL115"/>
  <c r="DL118"/>
  <c r="DL119"/>
  <c r="DL131"/>
  <c r="DL132"/>
  <c r="DL134"/>
  <c r="DL135"/>
  <c r="DL137"/>
  <c r="DL140"/>
  <c r="DL141"/>
  <c r="DL142"/>
  <c r="DL150"/>
  <c r="DL152"/>
  <c r="DJ9"/>
  <c r="DJ10"/>
  <c r="DJ11"/>
  <c r="DJ12"/>
  <c r="DJ15"/>
  <c r="DJ16"/>
  <c r="DJ19"/>
  <c r="DJ18"/>
  <c r="DJ22"/>
  <c r="DJ33"/>
  <c r="DJ35"/>
  <c r="DJ38"/>
  <c r="DJ39"/>
  <c r="DJ40"/>
  <c r="DJ42"/>
  <c r="DJ24"/>
  <c r="DJ25"/>
  <c r="DJ26"/>
  <c r="DJ30"/>
  <c r="DJ20"/>
  <c r="DJ21"/>
  <c r="DJ41"/>
  <c r="DJ31"/>
  <c r="DJ32"/>
  <c r="DJ28"/>
  <c r="DJ27"/>
  <c r="DJ43"/>
  <c r="DJ44"/>
  <c r="DJ34"/>
  <c r="DJ29"/>
  <c r="DJ45"/>
  <c r="DJ36"/>
  <c r="DJ47"/>
  <c r="DJ48"/>
  <c r="DJ54"/>
  <c r="DJ55"/>
  <c r="DJ57"/>
  <c r="DJ58"/>
  <c r="DJ60"/>
  <c r="DJ61"/>
  <c r="DJ63"/>
  <c r="DJ64"/>
  <c r="DJ65"/>
  <c r="DJ69"/>
  <c r="DJ70"/>
  <c r="DJ72"/>
  <c r="DJ76"/>
  <c r="DJ77"/>
  <c r="DJ80"/>
  <c r="DJ82"/>
  <c r="DJ83"/>
  <c r="DJ84"/>
  <c r="DJ86"/>
  <c r="DJ87"/>
  <c r="DJ88"/>
  <c r="DJ89"/>
  <c r="DJ93"/>
  <c r="DJ94"/>
  <c r="DJ96"/>
  <c r="DJ97"/>
  <c r="DJ98"/>
  <c r="DJ103"/>
  <c r="DJ108"/>
  <c r="DJ114"/>
  <c r="DJ115"/>
  <c r="DJ118"/>
  <c r="DJ119"/>
  <c r="DJ131"/>
  <c r="DJ132"/>
  <c r="DJ134"/>
  <c r="DJ135"/>
  <c r="DJ137"/>
  <c r="DJ140"/>
  <c r="DJ141"/>
  <c r="DJ142"/>
  <c r="DJ150"/>
  <c r="DJ152"/>
  <c r="DH9"/>
  <c r="DH10"/>
  <c r="DH11"/>
  <c r="DH12"/>
  <c r="DH15"/>
  <c r="DH16"/>
  <c r="DH19"/>
  <c r="DH18"/>
  <c r="DH22"/>
  <c r="DH33"/>
  <c r="DH35"/>
  <c r="DH38"/>
  <c r="DH39"/>
  <c r="DH40"/>
  <c r="DH42"/>
  <c r="DH24"/>
  <c r="DH25"/>
  <c r="DH26"/>
  <c r="DH30"/>
  <c r="DH20"/>
  <c r="DH21"/>
  <c r="DH41"/>
  <c r="DH31"/>
  <c r="DH32"/>
  <c r="DH28"/>
  <c r="DH27"/>
  <c r="DH43"/>
  <c r="DH44"/>
  <c r="DH34"/>
  <c r="DH29"/>
  <c r="DH45"/>
  <c r="DH36"/>
  <c r="DH47"/>
  <c r="DH48"/>
  <c r="DH54"/>
  <c r="DH55"/>
  <c r="DH57"/>
  <c r="DH58"/>
  <c r="DH60"/>
  <c r="DH61"/>
  <c r="DH63"/>
  <c r="DH64"/>
  <c r="DH65"/>
  <c r="DH69"/>
  <c r="DH70"/>
  <c r="DH72"/>
  <c r="DH76"/>
  <c r="DH77"/>
  <c r="DH80"/>
  <c r="DH82"/>
  <c r="DH83"/>
  <c r="DH84"/>
  <c r="DH86"/>
  <c r="DH87"/>
  <c r="DH88"/>
  <c r="DH89"/>
  <c r="DH93"/>
  <c r="DH94"/>
  <c r="DH96"/>
  <c r="DH97"/>
  <c r="DH98"/>
  <c r="DH103"/>
  <c r="DH108"/>
  <c r="DH114"/>
  <c r="DH115"/>
  <c r="DH118"/>
  <c r="DH119"/>
  <c r="DH131"/>
  <c r="DH132"/>
  <c r="DH134"/>
  <c r="DH135"/>
  <c r="DH137"/>
  <c r="DH140"/>
  <c r="DH141"/>
  <c r="DH142"/>
  <c r="DH150"/>
  <c r="DH152"/>
  <c r="DF9"/>
  <c r="DF10"/>
  <c r="DF11"/>
  <c r="DF12"/>
  <c r="DF15"/>
  <c r="DF16"/>
  <c r="DF19"/>
  <c r="DF18"/>
  <c r="DF22"/>
  <c r="DF33"/>
  <c r="DF35"/>
  <c r="DF38"/>
  <c r="DF39"/>
  <c r="DF40"/>
  <c r="DF42"/>
  <c r="DF24"/>
  <c r="DF25"/>
  <c r="DF26"/>
  <c r="DF30"/>
  <c r="DF20"/>
  <c r="DF21"/>
  <c r="DF41"/>
  <c r="DF31"/>
  <c r="DF32"/>
  <c r="DF28"/>
  <c r="DF27"/>
  <c r="DF43"/>
  <c r="DF44"/>
  <c r="DF34"/>
  <c r="DF29"/>
  <c r="DF45"/>
  <c r="DF36"/>
  <c r="DF47"/>
  <c r="DF48"/>
  <c r="DF54"/>
  <c r="DF55"/>
  <c r="DF57"/>
  <c r="DF58"/>
  <c r="DF60"/>
  <c r="DF61"/>
  <c r="DF63"/>
  <c r="DF64"/>
  <c r="DF65"/>
  <c r="DF69"/>
  <c r="DF70"/>
  <c r="DF72"/>
  <c r="DF76"/>
  <c r="DF77"/>
  <c r="DF80"/>
  <c r="DF82"/>
  <c r="DF83"/>
  <c r="DF84"/>
  <c r="DF86"/>
  <c r="DF87"/>
  <c r="DF88"/>
  <c r="DF89"/>
  <c r="DF93"/>
  <c r="DF94"/>
  <c r="DF96"/>
  <c r="DF97"/>
  <c r="DF98"/>
  <c r="DF103"/>
  <c r="DF108"/>
  <c r="DF114"/>
  <c r="DF115"/>
  <c r="DF118"/>
  <c r="DF119"/>
  <c r="DF131"/>
  <c r="DF132"/>
  <c r="DF134"/>
  <c r="DF135"/>
  <c r="DF137"/>
  <c r="DF140"/>
  <c r="DF141"/>
  <c r="DF142"/>
  <c r="DF150"/>
  <c r="DF152"/>
  <c r="DD9"/>
  <c r="DD10"/>
  <c r="DD11"/>
  <c r="DD12"/>
  <c r="DD15"/>
  <c r="DD16"/>
  <c r="DD19"/>
  <c r="DD18"/>
  <c r="DD22"/>
  <c r="DD33"/>
  <c r="DD35"/>
  <c r="DD38"/>
  <c r="DD39"/>
  <c r="DD40"/>
  <c r="DD42"/>
  <c r="DD24"/>
  <c r="DD25"/>
  <c r="DD26"/>
  <c r="DD30"/>
  <c r="DD20"/>
  <c r="DD21"/>
  <c r="DD41"/>
  <c r="DD31"/>
  <c r="DD32"/>
  <c r="DD28"/>
  <c r="DD27"/>
  <c r="DD43"/>
  <c r="DD44"/>
  <c r="DD34"/>
  <c r="DD29"/>
  <c r="DD45"/>
  <c r="DD36"/>
  <c r="DD47"/>
  <c r="DD48"/>
  <c r="DD54"/>
  <c r="DD55"/>
  <c r="DD57"/>
  <c r="DD58"/>
  <c r="DD60"/>
  <c r="DD61"/>
  <c r="DD63"/>
  <c r="DD64"/>
  <c r="DD65"/>
  <c r="DD69"/>
  <c r="DD70"/>
  <c r="DD72"/>
  <c r="DD76"/>
  <c r="DD77"/>
  <c r="DD80"/>
  <c r="DD82"/>
  <c r="DD83"/>
  <c r="DD84"/>
  <c r="DD86"/>
  <c r="DD87"/>
  <c r="DD88"/>
  <c r="DD89"/>
  <c r="DD93"/>
  <c r="DD94"/>
  <c r="DD96"/>
  <c r="DD97"/>
  <c r="DD98"/>
  <c r="DD103"/>
  <c r="DD108"/>
  <c r="DD114"/>
  <c r="DD115"/>
  <c r="DD118"/>
  <c r="DD119"/>
  <c r="DD131"/>
  <c r="DD132"/>
  <c r="DD134"/>
  <c r="DD135"/>
  <c r="DD137"/>
  <c r="DD140"/>
  <c r="DD141"/>
  <c r="DD142"/>
  <c r="DD150"/>
  <c r="DD152"/>
  <c r="DB9"/>
  <c r="DB10"/>
  <c r="DB11"/>
  <c r="DB12"/>
  <c r="DB15"/>
  <c r="DB16"/>
  <c r="DB19"/>
  <c r="DB18"/>
  <c r="DB22"/>
  <c r="DB33"/>
  <c r="DB35"/>
  <c r="DB38"/>
  <c r="DB39"/>
  <c r="DB40"/>
  <c r="DB42"/>
  <c r="DB24"/>
  <c r="DB25"/>
  <c r="DB26"/>
  <c r="DB30"/>
  <c r="DB20"/>
  <c r="DB21"/>
  <c r="DB41"/>
  <c r="DB31"/>
  <c r="DB32"/>
  <c r="DB28"/>
  <c r="DB27"/>
  <c r="DB43"/>
  <c r="DB44"/>
  <c r="DB34"/>
  <c r="DB29"/>
  <c r="DB45"/>
  <c r="DB36"/>
  <c r="DB47"/>
  <c r="DB48"/>
  <c r="DB54"/>
  <c r="DB55"/>
  <c r="DB57"/>
  <c r="DB58"/>
  <c r="DB60"/>
  <c r="DB61"/>
  <c r="DB63"/>
  <c r="DB64"/>
  <c r="DB65"/>
  <c r="DB69"/>
  <c r="DB70"/>
  <c r="DB72"/>
  <c r="DB76"/>
  <c r="DB77"/>
  <c r="DB80"/>
  <c r="DB82"/>
  <c r="DB83"/>
  <c r="DB84"/>
  <c r="DB86"/>
  <c r="DB87"/>
  <c r="DB88"/>
  <c r="DB89"/>
  <c r="DB93"/>
  <c r="DB94"/>
  <c r="DB96"/>
  <c r="DB97"/>
  <c r="DB98"/>
  <c r="DB103"/>
  <c r="DB108"/>
  <c r="DB114"/>
  <c r="DB115"/>
  <c r="DB118"/>
  <c r="DB119"/>
  <c r="DB131"/>
  <c r="DB132"/>
  <c r="DB134"/>
  <c r="DB135"/>
  <c r="DB137"/>
  <c r="DB140"/>
  <c r="DB141"/>
  <c r="DB142"/>
  <c r="DB150"/>
  <c r="DB152"/>
  <c r="CL11"/>
  <c r="CL12"/>
  <c r="CL19"/>
  <c r="CL18"/>
  <c r="CL22"/>
  <c r="CL33"/>
  <c r="CL38"/>
  <c r="CL39"/>
  <c r="CL40"/>
  <c r="CL42"/>
  <c r="CL24"/>
  <c r="CL25"/>
  <c r="CL26"/>
  <c r="CL30"/>
  <c r="CL20"/>
  <c r="CL21"/>
  <c r="CL41"/>
  <c r="CL31"/>
  <c r="CL32"/>
  <c r="CL28"/>
  <c r="CL27"/>
  <c r="CL43"/>
  <c r="CL44"/>
  <c r="CL34"/>
  <c r="CL29"/>
  <c r="CL45"/>
  <c r="CL36"/>
  <c r="CL57"/>
  <c r="CL58"/>
  <c r="CL60"/>
  <c r="CL61"/>
  <c r="CL63"/>
  <c r="CL64"/>
  <c r="CL65"/>
  <c r="CL74"/>
  <c r="CL76"/>
  <c r="CL77"/>
  <c r="CL78"/>
  <c r="CL82"/>
  <c r="CL83"/>
  <c r="CL84"/>
  <c r="CL86"/>
  <c r="CL87"/>
  <c r="CL89"/>
  <c r="CL96"/>
  <c r="CL97"/>
  <c r="CL98"/>
  <c r="CL114"/>
  <c r="CL119"/>
  <c r="CL134"/>
  <c r="CL140"/>
  <c r="CL141"/>
  <c r="CL142"/>
  <c r="CL150"/>
  <c r="CL152"/>
  <c r="CJ11"/>
  <c r="CJ12"/>
  <c r="CJ19"/>
  <c r="CJ18"/>
  <c r="CJ22"/>
  <c r="CJ33"/>
  <c r="CJ35"/>
  <c r="CJ38"/>
  <c r="CQ38" s="1"/>
  <c r="CJ39"/>
  <c r="CJ40"/>
  <c r="CJ42"/>
  <c r="CJ24"/>
  <c r="CJ25"/>
  <c r="CQ25" s="1"/>
  <c r="CJ26"/>
  <c r="CJ30"/>
  <c r="CQ30" s="1"/>
  <c r="CJ20"/>
  <c r="CJ21"/>
  <c r="CJ41"/>
  <c r="CJ31"/>
  <c r="CJ32"/>
  <c r="CQ32" s="1"/>
  <c r="CJ28"/>
  <c r="CJ27"/>
  <c r="CJ43"/>
  <c r="CQ43" s="1"/>
  <c r="CJ44"/>
  <c r="CJ34"/>
  <c r="CJ29"/>
  <c r="CQ29" s="1"/>
  <c r="CJ45"/>
  <c r="CJ36"/>
  <c r="CJ57"/>
  <c r="CQ57" s="1"/>
  <c r="CJ58"/>
  <c r="CJ60"/>
  <c r="CJ61"/>
  <c r="CJ63"/>
  <c r="CJ64"/>
  <c r="CJ65"/>
  <c r="CJ72"/>
  <c r="CJ74"/>
  <c r="CJ76"/>
  <c r="CJ77"/>
  <c r="CJ78"/>
  <c r="CJ80"/>
  <c r="CJ82"/>
  <c r="CJ83"/>
  <c r="CJ84"/>
  <c r="CJ86"/>
  <c r="CJ87"/>
  <c r="CJ88"/>
  <c r="CJ89"/>
  <c r="CJ96"/>
  <c r="CJ97"/>
  <c r="CJ98"/>
  <c r="CJ114"/>
  <c r="CJ115"/>
  <c r="CJ118"/>
  <c r="CJ119"/>
  <c r="CJ134"/>
  <c r="CJ135"/>
  <c r="CJ137"/>
  <c r="CJ140"/>
  <c r="CJ141"/>
  <c r="CJ142"/>
  <c r="CJ150"/>
  <c r="CJ152"/>
  <c r="DN114"/>
  <c r="AE115"/>
  <c r="AG115" s="1"/>
  <c r="AI115" s="1"/>
  <c r="AE118"/>
  <c r="AG118" s="1"/>
  <c r="AI118" s="1"/>
  <c r="AC72"/>
  <c r="AE72" s="1"/>
  <c r="AC77"/>
  <c r="AE82"/>
  <c r="AG82" s="1"/>
  <c r="AC87"/>
  <c r="AE87" s="1"/>
  <c r="AG87" s="1"/>
  <c r="AI87" s="1"/>
  <c r="AC86"/>
  <c r="AE86" s="1"/>
  <c r="AD154"/>
  <c r="AD130"/>
  <c r="AD102"/>
  <c r="AD68"/>
  <c r="AD53"/>
  <c r="AD46"/>
  <c r="AD14"/>
  <c r="AD8"/>
  <c r="AC130"/>
  <c r="AC8"/>
  <c r="AC79"/>
  <c r="AC78"/>
  <c r="AC74"/>
  <c r="AC46"/>
  <c r="DN141"/>
  <c r="DN142"/>
  <c r="AE11"/>
  <c r="AG11" s="1"/>
  <c r="AI11" s="1"/>
  <c r="AE12"/>
  <c r="AG12" s="1"/>
  <c r="AE19"/>
  <c r="AG19" s="1"/>
  <c r="AI19" s="1"/>
  <c r="AE18"/>
  <c r="AG18" s="1"/>
  <c r="AE22"/>
  <c r="AG22" s="1"/>
  <c r="AI22" s="1"/>
  <c r="AE33"/>
  <c r="AG33" s="1"/>
  <c r="AE35"/>
  <c r="AG35" s="1"/>
  <c r="AE38"/>
  <c r="AG38" s="1"/>
  <c r="AI38" s="1"/>
  <c r="AE39"/>
  <c r="AG39" s="1"/>
  <c r="AE40"/>
  <c r="AG40" s="1"/>
  <c r="AI40" s="1"/>
  <c r="AE42"/>
  <c r="AG42" s="1"/>
  <c r="AI42" s="1"/>
  <c r="AE24"/>
  <c r="AG24" s="1"/>
  <c r="AI24" s="1"/>
  <c r="AE25"/>
  <c r="AG25" s="1"/>
  <c r="AE26"/>
  <c r="AG26" s="1"/>
  <c r="AI26" s="1"/>
  <c r="AE30"/>
  <c r="AG30" s="1"/>
  <c r="AE20"/>
  <c r="AG20" s="1"/>
  <c r="AI20" s="1"/>
  <c r="AE21"/>
  <c r="AE41"/>
  <c r="AG41" s="1"/>
  <c r="AE31"/>
  <c r="AG31" s="1"/>
  <c r="AE32"/>
  <c r="AG32" s="1"/>
  <c r="AE28"/>
  <c r="AG28" s="1"/>
  <c r="AE27"/>
  <c r="AG27" s="1"/>
  <c r="AI27" s="1"/>
  <c r="AE43"/>
  <c r="AG43" s="1"/>
  <c r="AE44"/>
  <c r="AG44" s="1"/>
  <c r="AI44" s="1"/>
  <c r="AE34"/>
  <c r="AG34" s="1"/>
  <c r="AE29"/>
  <c r="AG29" s="1"/>
  <c r="AI29" s="1"/>
  <c r="AE45"/>
  <c r="AG45" s="1"/>
  <c r="AE36"/>
  <c r="AG36" s="1"/>
  <c r="AE57"/>
  <c r="AG57" s="1"/>
  <c r="AE60"/>
  <c r="AG60" s="1"/>
  <c r="AI60" s="1"/>
  <c r="AE61"/>
  <c r="AG61" s="1"/>
  <c r="AI61" s="1"/>
  <c r="AE63"/>
  <c r="AG63" s="1"/>
  <c r="AI63" s="1"/>
  <c r="AE76"/>
  <c r="AG76" s="1"/>
  <c r="AE80"/>
  <c r="AG80" s="1"/>
  <c r="AE83"/>
  <c r="AG83" s="1"/>
  <c r="DS83" s="1"/>
  <c r="AE88"/>
  <c r="AG88" s="1"/>
  <c r="AE96"/>
  <c r="AG96" s="1"/>
  <c r="AE97"/>
  <c r="AG97" s="1"/>
  <c r="AE98"/>
  <c r="AG98" s="1"/>
  <c r="AI98" s="1"/>
  <c r="AE114"/>
  <c r="CL118"/>
  <c r="AE119"/>
  <c r="AG119" s="1"/>
  <c r="AE137"/>
  <c r="AG137" s="1"/>
  <c r="AI137" s="1"/>
  <c r="AE140"/>
  <c r="AG140" s="1"/>
  <c r="AE141"/>
  <c r="AG141" s="1"/>
  <c r="AE142"/>
  <c r="AG142" s="1"/>
  <c r="AE150"/>
  <c r="AG150" s="1"/>
  <c r="AI150" s="1"/>
  <c r="AE152"/>
  <c r="DN115"/>
  <c r="CL115"/>
  <c r="DN118"/>
  <c r="AC154"/>
  <c r="DN60"/>
  <c r="DN150"/>
  <c r="DN152"/>
  <c r="DN11"/>
  <c r="DN12"/>
  <c r="DN57"/>
  <c r="DN58"/>
  <c r="DN61"/>
  <c r="DN63"/>
  <c r="DN64"/>
  <c r="DN65"/>
  <c r="DN72"/>
  <c r="DN119"/>
  <c r="DN134"/>
  <c r="DN135"/>
  <c r="DN137"/>
  <c r="DN140"/>
  <c r="AC14"/>
  <c r="AC58"/>
  <c r="AC65"/>
  <c r="AE65" s="1"/>
  <c r="AG65" s="1"/>
  <c r="AC64"/>
  <c r="AE64" s="1"/>
  <c r="AG64" s="1"/>
  <c r="DQ79"/>
  <c r="CL53"/>
  <c r="DB53"/>
  <c r="CJ53"/>
  <c r="DJ53"/>
  <c r="CT53"/>
  <c r="DF53"/>
  <c r="DH8"/>
  <c r="DH53"/>
  <c r="CJ8"/>
  <c r="CL8"/>
  <c r="CP53"/>
  <c r="CZ53"/>
  <c r="CO8"/>
  <c r="CP8"/>
  <c r="AF92"/>
  <c r="CW53"/>
  <c r="CW8"/>
  <c r="AC102"/>
  <c r="CT8"/>
  <c r="DN8"/>
  <c r="DL53"/>
  <c r="DF8"/>
  <c r="CK130"/>
  <c r="CZ8"/>
  <c r="DL8"/>
  <c r="AD92"/>
  <c r="DB8"/>
  <c r="DD8"/>
  <c r="AC53"/>
  <c r="AE8"/>
  <c r="DN53"/>
  <c r="CO53"/>
  <c r="DD53"/>
  <c r="DJ8"/>
  <c r="CQ53"/>
  <c r="CQ8"/>
  <c r="DO8"/>
  <c r="DO53"/>
  <c r="AC158"/>
  <c r="DQ8"/>
  <c r="AE53"/>
  <c r="DR8"/>
  <c r="DQ53"/>
  <c r="DR53"/>
  <c r="D182" i="3" a="1"/>
  <c r="D182" s="1"/>
  <c r="E182" a="1"/>
  <c r="E182" s="1"/>
  <c r="D184" a="1"/>
  <c r="D184" s="1"/>
  <c r="D178" a="1"/>
  <c r="D178" s="1"/>
  <c r="F177" a="1"/>
  <c r="F177" s="1"/>
  <c r="F181" s="1"/>
  <c r="F185" s="1"/>
  <c r="C177" a="1"/>
  <c r="C177" s="1"/>
  <c r="C181" s="1"/>
  <c r="C185" s="1"/>
  <c r="E177" a="1"/>
  <c r="E177" s="1"/>
  <c r="E181" s="1"/>
  <c r="E185" s="1"/>
  <c r="C178" a="1"/>
  <c r="C178" s="1"/>
  <c r="F182" a="1"/>
  <c r="F182" s="1"/>
  <c r="B178" a="1"/>
  <c r="B178" s="1"/>
  <c r="D177" a="1"/>
  <c r="D177" s="1"/>
  <c r="D181" s="1"/>
  <c r="D185" s="1"/>
  <c r="F184" a="1"/>
  <c r="F184" s="1"/>
  <c r="C184" a="1"/>
  <c r="C184" s="1"/>
  <c r="B182" a="1"/>
  <c r="B182" s="1"/>
  <c r="B177" a="1"/>
  <c r="B177" s="1"/>
  <c r="B181" s="1"/>
  <c r="B185" s="1"/>
  <c r="E184" a="1"/>
  <c r="E184" s="1"/>
  <c r="B184" a="1"/>
  <c r="B184" s="1"/>
  <c r="C182" a="1"/>
  <c r="C182" s="1"/>
  <c r="E178" a="1"/>
  <c r="E178" s="1"/>
  <c r="F178" a="1"/>
  <c r="F178" s="1"/>
  <c r="AS9" i="4" l="1"/>
  <c r="CC43" i="2"/>
  <c r="BX46"/>
  <c r="CA89"/>
  <c r="I144" i="3" a="1"/>
  <c r="I144" s="1"/>
  <c r="BI155" i="2"/>
  <c r="BU155"/>
  <c r="CF102"/>
  <c r="CC64"/>
  <c r="AT155"/>
  <c r="CC139"/>
  <c r="BR155"/>
  <c r="CC57"/>
  <c r="BL155"/>
  <c r="AN155"/>
  <c r="J145" i="3" s="1" a="1"/>
  <c r="J145" s="1"/>
  <c r="AZ155" i="2"/>
  <c r="BC155"/>
  <c r="AW155"/>
  <c r="BO155"/>
  <c r="CE92"/>
  <c r="CC124"/>
  <c r="CA76"/>
  <c r="CA56"/>
  <c r="CA13"/>
  <c r="CC142"/>
  <c r="CA66"/>
  <c r="CC121"/>
  <c r="CA86"/>
  <c r="CA101"/>
  <c r="CC112"/>
  <c r="CC91"/>
  <c r="CA135"/>
  <c r="CA83"/>
  <c r="CC151"/>
  <c r="CA81"/>
  <c r="CA128"/>
  <c r="CA43"/>
  <c r="CC82"/>
  <c r="CA140"/>
  <c r="CC143"/>
  <c r="CC52"/>
  <c r="CC88"/>
  <c r="CC65"/>
  <c r="CC63"/>
  <c r="CC119"/>
  <c r="CA126"/>
  <c r="DS84"/>
  <c r="CA105"/>
  <c r="CA106" s="1"/>
  <c r="CA7"/>
  <c r="CA8" s="1"/>
  <c r="CC115"/>
  <c r="CC84"/>
  <c r="CC67"/>
  <c r="CA85"/>
  <c r="CC114"/>
  <c r="CA75"/>
  <c r="CA138"/>
  <c r="BZ14"/>
  <c r="CA11"/>
  <c r="BX14"/>
  <c r="CC24"/>
  <c r="I8" i="3" a="1"/>
  <c r="I8" s="1"/>
  <c r="I137" a="1"/>
  <c r="I137" s="1"/>
  <c r="I355" a="1"/>
  <c r="I355" s="1"/>
  <c r="AG355" s="1"/>
  <c r="I9" a="1"/>
  <c r="I9" s="1"/>
  <c r="I141" a="1"/>
  <c r="I141" s="1"/>
  <c r="I138" a="1"/>
  <c r="I138" s="1"/>
  <c r="I146" a="1"/>
  <c r="I146" s="1"/>
  <c r="I143" a="1"/>
  <c r="I143" s="1"/>
  <c r="I140" a="1"/>
  <c r="I140" s="1"/>
  <c r="I12" a="1"/>
  <c r="I12" s="1"/>
  <c r="I13" a="1"/>
  <c r="I13" s="1"/>
  <c r="I363" a="1"/>
  <c r="I363" s="1"/>
  <c r="AG363" s="1"/>
  <c r="CA147" i="2"/>
  <c r="DQ27"/>
  <c r="DT13"/>
  <c r="CC74"/>
  <c r="CA127"/>
  <c r="I65" i="3" a="1"/>
  <c r="I65" s="1"/>
  <c r="CC32" i="2"/>
  <c r="CC26"/>
  <c r="CC125"/>
  <c r="CA122"/>
  <c r="BU94" i="4"/>
  <c r="AS98"/>
  <c r="CA97" i="2"/>
  <c r="CA144"/>
  <c r="CE46"/>
  <c r="CC49"/>
  <c r="CA120"/>
  <c r="CA59"/>
  <c r="AQ155"/>
  <c r="CC136"/>
  <c r="CC145"/>
  <c r="CA148"/>
  <c r="CC141"/>
  <c r="CA137"/>
  <c r="I57" i="3" a="1"/>
  <c r="I57" s="1"/>
  <c r="I59" a="1"/>
  <c r="I59" s="1"/>
  <c r="I92" a="1"/>
  <c r="I92" s="1"/>
  <c r="I97" a="1"/>
  <c r="I97" s="1"/>
  <c r="I104" a="1"/>
  <c r="I104" s="1"/>
  <c r="I108" a="1"/>
  <c r="I108" s="1"/>
  <c r="I94" a="1"/>
  <c r="I94" s="1"/>
  <c r="I100" a="1"/>
  <c r="I100" s="1"/>
  <c r="I105" a="1"/>
  <c r="I105" s="1"/>
  <c r="CC7" i="2"/>
  <c r="I90" i="3" a="1"/>
  <c r="I90" s="1"/>
  <c r="I95" a="1"/>
  <c r="I95" s="1"/>
  <c r="I101" a="1"/>
  <c r="I101" s="1"/>
  <c r="I106" a="1"/>
  <c r="I106" s="1"/>
  <c r="I91" a="1"/>
  <c r="I91" s="1"/>
  <c r="I96" a="1"/>
  <c r="I96" s="1"/>
  <c r="I102" a="1"/>
  <c r="I102" s="1"/>
  <c r="I107" a="1"/>
  <c r="I107" s="1"/>
  <c r="AS36" i="4"/>
  <c r="BQ51"/>
  <c r="BT51" s="1"/>
  <c r="AS65"/>
  <c r="AS69"/>
  <c r="CE154" i="2"/>
  <c r="CA44"/>
  <c r="CA31"/>
  <c r="I21" i="3" a="1"/>
  <c r="I21" s="1"/>
  <c r="I26" a="1"/>
  <c r="I26" s="1"/>
  <c r="I30" a="1"/>
  <c r="I30" s="1"/>
  <c r="I36" a="1"/>
  <c r="I36" s="1"/>
  <c r="I44" a="1"/>
  <c r="I44" s="1"/>
  <c r="I42" a="1"/>
  <c r="I42" s="1"/>
  <c r="I54" a="1"/>
  <c r="I54" s="1"/>
  <c r="I61" a="1"/>
  <c r="I61" s="1"/>
  <c r="I70" a="1"/>
  <c r="I70" s="1"/>
  <c r="I77" a="1"/>
  <c r="I77" s="1"/>
  <c r="I20" a="1"/>
  <c r="I20" s="1"/>
  <c r="I24" a="1"/>
  <c r="I24" s="1"/>
  <c r="I33" a="1"/>
  <c r="I33" s="1"/>
  <c r="I40" a="1"/>
  <c r="I40" s="1"/>
  <c r="I43" a="1"/>
  <c r="I43" s="1"/>
  <c r="I48" a="1"/>
  <c r="I48" s="1"/>
  <c r="I53" a="1"/>
  <c r="I53" s="1"/>
  <c r="I60" a="1"/>
  <c r="I60" s="1"/>
  <c r="I58" a="1"/>
  <c r="I58" s="1"/>
  <c r="I76" a="1"/>
  <c r="I76" s="1"/>
  <c r="I28" a="1"/>
  <c r="I28" s="1"/>
  <c r="I34" a="1"/>
  <c r="I34" s="1"/>
  <c r="I41" a="1"/>
  <c r="I41" s="1"/>
  <c r="I49" a="1"/>
  <c r="I49" s="1"/>
  <c r="I63" a="1"/>
  <c r="I63" s="1"/>
  <c r="I71" a="1"/>
  <c r="I71" s="1"/>
  <c r="I74" a="1"/>
  <c r="I74" s="1"/>
  <c r="I72" a="1"/>
  <c r="I72" s="1"/>
  <c r="DO119" i="2"/>
  <c r="DT119" s="1"/>
  <c r="CL154"/>
  <c r="DB154"/>
  <c r="DJ14"/>
  <c r="AK92"/>
  <c r="CB92" s="1"/>
  <c r="BZ58"/>
  <c r="CA39"/>
  <c r="CA51"/>
  <c r="CC29"/>
  <c r="BZ83"/>
  <c r="I23" i="3" a="1"/>
  <c r="I23" s="1"/>
  <c r="I29" a="1"/>
  <c r="I29" s="1"/>
  <c r="I35" a="1"/>
  <c r="I35" s="1"/>
  <c r="I39" a="1"/>
  <c r="I39" s="1"/>
  <c r="I47" a="1"/>
  <c r="I47" s="1"/>
  <c r="I51" a="1"/>
  <c r="I51" s="1"/>
  <c r="I56" a="1"/>
  <c r="I56" s="1"/>
  <c r="I64" a="1"/>
  <c r="I64" s="1"/>
  <c r="I68" a="1"/>
  <c r="I68" s="1"/>
  <c r="I69" a="1"/>
  <c r="I69" s="1"/>
  <c r="I22" a="1"/>
  <c r="I22" s="1"/>
  <c r="I27" a="1"/>
  <c r="I27" s="1"/>
  <c r="I31" a="1"/>
  <c r="I31" s="1"/>
  <c r="I37" a="1"/>
  <c r="I37" s="1"/>
  <c r="I46" a="1"/>
  <c r="I46" s="1"/>
  <c r="I50" a="1"/>
  <c r="I50" s="1"/>
  <c r="I55" a="1"/>
  <c r="I55" s="1"/>
  <c r="I62" a="1"/>
  <c r="I62" s="1"/>
  <c r="I67" a="1"/>
  <c r="I67" s="1"/>
  <c r="I78" a="1"/>
  <c r="I78" s="1"/>
  <c r="I32" a="1"/>
  <c r="I32" s="1"/>
  <c r="I38" a="1"/>
  <c r="I38" s="1"/>
  <c r="I45" a="1"/>
  <c r="I45" s="1"/>
  <c r="I52" a="1"/>
  <c r="I52" s="1"/>
  <c r="I66" a="1"/>
  <c r="I66" s="1"/>
  <c r="I75" a="1"/>
  <c r="I75" s="1"/>
  <c r="I73" a="1"/>
  <c r="I73" s="1"/>
  <c r="I25" a="1"/>
  <c r="I25" s="1"/>
  <c r="CP68" i="2"/>
  <c r="DQ60"/>
  <c r="DQ76"/>
  <c r="DO87"/>
  <c r="DT87" s="1"/>
  <c r="CQ74"/>
  <c r="DB130"/>
  <c r="DH14"/>
  <c r="CP92"/>
  <c r="DQ80"/>
  <c r="DN102"/>
  <c r="CA24" i="4"/>
  <c r="CA33" i="2"/>
  <c r="CA40"/>
  <c r="CA27"/>
  <c r="CB130"/>
  <c r="BZ118"/>
  <c r="BZ130" s="1"/>
  <c r="CB152"/>
  <c r="CC77"/>
  <c r="CA152"/>
  <c r="CC83"/>
  <c r="CC100"/>
  <c r="CA118"/>
  <c r="I145" i="3" a="1"/>
  <c r="I145" s="1"/>
  <c r="I359" a="1"/>
  <c r="I359" s="1"/>
  <c r="AG359" s="1"/>
  <c r="I361" a="1"/>
  <c r="I361" s="1"/>
  <c r="AG361" s="1"/>
  <c r="CB83" i="2"/>
  <c r="BS31" i="4"/>
  <c r="BU49"/>
  <c r="BV51"/>
  <c r="BS60"/>
  <c r="BZ53" i="2"/>
  <c r="CB100"/>
  <c r="CB77"/>
  <c r="BZ153"/>
  <c r="CB118"/>
  <c r="CA77"/>
  <c r="CA153"/>
  <c r="CA100"/>
  <c r="CC118"/>
  <c r="CC152"/>
  <c r="I365" i="3" a="1"/>
  <c r="I365" s="1"/>
  <c r="AG365" s="1"/>
  <c r="I360" a="1"/>
  <c r="I360" s="1"/>
  <c r="AG360" s="1"/>
  <c r="I358" a="1"/>
  <c r="I358" s="1"/>
  <c r="AG358" s="1"/>
  <c r="I5" a="1"/>
  <c r="I5" s="1"/>
  <c r="I6" s="1"/>
  <c r="CC150" i="2"/>
  <c r="CB150"/>
  <c r="BZ150"/>
  <c r="AG8"/>
  <c r="DT8" s="1"/>
  <c r="CB99"/>
  <c r="BZ99"/>
  <c r="AK102"/>
  <c r="CB102" s="1"/>
  <c r="CB96"/>
  <c r="CA96"/>
  <c r="CB98"/>
  <c r="CA98"/>
  <c r="CB61"/>
  <c r="CA61"/>
  <c r="BZ60"/>
  <c r="CB60"/>
  <c r="DQ30"/>
  <c r="DO29"/>
  <c r="DR29" s="1"/>
  <c r="DO12"/>
  <c r="DR12" s="1"/>
  <c r="DO60"/>
  <c r="DT60" s="1"/>
  <c r="CA134"/>
  <c r="BZ134"/>
  <c r="CB134"/>
  <c r="CC134"/>
  <c r="AI136"/>
  <c r="AK68"/>
  <c r="CB68" s="1"/>
  <c r="CB8"/>
  <c r="BZ135"/>
  <c r="CC135"/>
  <c r="BS91" i="4"/>
  <c r="AS76"/>
  <c r="CC19" i="2"/>
  <c r="CA28"/>
  <c r="CC18"/>
  <c r="CA60"/>
  <c r="CC60"/>
  <c r="BZ80"/>
  <c r="CA24"/>
  <c r="CB135"/>
  <c r="CA78"/>
  <c r="CA150"/>
  <c r="CA123"/>
  <c r="CC123"/>
  <c r="CA146"/>
  <c r="CC146"/>
  <c r="CB78"/>
  <c r="CC79"/>
  <c r="CB79"/>
  <c r="BZ79"/>
  <c r="CT154"/>
  <c r="DS77"/>
  <c r="DQ19"/>
  <c r="CF46"/>
  <c r="CQ87"/>
  <c r="DH154"/>
  <c r="CO92"/>
  <c r="DQ38"/>
  <c r="CW130"/>
  <c r="BU60" i="4"/>
  <c r="BQ102"/>
  <c r="CH46" i="2"/>
  <c r="CH155" s="1"/>
  <c r="BZ22"/>
  <c r="BZ46" s="1"/>
  <c r="BZ62"/>
  <c r="CB62"/>
  <c r="BZ61"/>
  <c r="CA37"/>
  <c r="CC37"/>
  <c r="CC45"/>
  <c r="CA45"/>
  <c r="CB22"/>
  <c r="CC99"/>
  <c r="CC78"/>
  <c r="CA79"/>
  <c r="CC96"/>
  <c r="CC73"/>
  <c r="CA73"/>
  <c r="CF92"/>
  <c r="BZ90"/>
  <c r="CB90"/>
  <c r="CA90"/>
  <c r="CC90"/>
  <c r="AK106"/>
  <c r="CC106" s="1"/>
  <c r="CC105"/>
  <c r="BZ105"/>
  <c r="BZ106" s="1"/>
  <c r="CB105"/>
  <c r="BZ96"/>
  <c r="BZ98"/>
  <c r="CA87"/>
  <c r="CC98"/>
  <c r="BS9" i="4"/>
  <c r="BU15"/>
  <c r="BQ31"/>
  <c r="BQ36"/>
  <c r="BQ43"/>
  <c r="BQ52"/>
  <c r="BQ60"/>
  <c r="BQ63"/>
  <c r="BQ94"/>
  <c r="BT94" s="1"/>
  <c r="CG46" i="2"/>
  <c r="CG155" s="1"/>
  <c r="CF68"/>
  <c r="CC61"/>
  <c r="CB53"/>
  <c r="BZ72"/>
  <c r="CA72"/>
  <c r="CC153"/>
  <c r="I142" i="3" a="1"/>
  <c r="I142" s="1"/>
  <c r="I7" a="1"/>
  <c r="I7" s="1"/>
  <c r="I139" a="1"/>
  <c r="I139" s="1"/>
  <c r="I367" a="1"/>
  <c r="I367" s="1"/>
  <c r="AG367" s="1"/>
  <c r="CC72" i="2"/>
  <c r="I11" i="3" a="1"/>
  <c r="I11" s="1"/>
  <c r="CA99" i="2"/>
  <c r="I364" i="3" a="1"/>
  <c r="I364" s="1"/>
  <c r="AG364" s="1"/>
  <c r="I362" a="1"/>
  <c r="I362" s="1"/>
  <c r="AG362" s="1"/>
  <c r="I366" a="1"/>
  <c r="I366" s="1"/>
  <c r="AG366" s="1"/>
  <c r="I357" a="1"/>
  <c r="I357" s="1"/>
  <c r="AG357" s="1"/>
  <c r="I356" a="1"/>
  <c r="I356" s="1"/>
  <c r="AG356" s="1"/>
  <c r="CC8" i="2"/>
  <c r="AU147" i="3"/>
  <c r="BV155" i="2"/>
  <c r="CA12"/>
  <c r="CA21"/>
  <c r="BF155"/>
  <c r="CC109"/>
  <c r="BX130"/>
  <c r="CC130" s="1"/>
  <c r="CA109"/>
  <c r="CB14"/>
  <c r="CA62"/>
  <c r="CC62"/>
  <c r="CA80"/>
  <c r="CC80"/>
  <c r="BX102"/>
  <c r="CA95"/>
  <c r="CC95"/>
  <c r="CC33"/>
  <c r="CA25"/>
  <c r="BX92"/>
  <c r="CC92" s="1"/>
  <c r="CC71"/>
  <c r="CA71"/>
  <c r="CC133"/>
  <c r="BX154"/>
  <c r="CA133"/>
  <c r="CC20"/>
  <c r="BX68"/>
  <c r="BX53"/>
  <c r="CC53" s="1"/>
  <c r="CC36"/>
  <c r="E174" i="3"/>
  <c r="CA41" i="2"/>
  <c r="CC41"/>
  <c r="CC58"/>
  <c r="CA58"/>
  <c r="DS27"/>
  <c r="CC11"/>
  <c r="CA38"/>
  <c r="CC34"/>
  <c r="CA42"/>
  <c r="CA30"/>
  <c r="CC30"/>
  <c r="CC23"/>
  <c r="CA23"/>
  <c r="CC35"/>
  <c r="CA35"/>
  <c r="CA50"/>
  <c r="CC50"/>
  <c r="CA22"/>
  <c r="CC22"/>
  <c r="CA17"/>
  <c r="CC17"/>
  <c r="DS96"/>
  <c r="AI96"/>
  <c r="DL68"/>
  <c r="DR13"/>
  <c r="AI76"/>
  <c r="DS76"/>
  <c r="DQ36"/>
  <c r="DY38"/>
  <c r="CQ152"/>
  <c r="CQ119"/>
  <c r="DO98"/>
  <c r="DT98" s="1"/>
  <c r="DO88"/>
  <c r="DR88" s="1"/>
  <c r="DJ46"/>
  <c r="CP102"/>
  <c r="CQ65"/>
  <c r="CQ98"/>
  <c r="DS45"/>
  <c r="DS42"/>
  <c r="DS19"/>
  <c r="CT102"/>
  <c r="CW14"/>
  <c r="CL102"/>
  <c r="DF46"/>
  <c r="DO72"/>
  <c r="DS40"/>
  <c r="DQ33"/>
  <c r="DO135"/>
  <c r="DR135" s="1"/>
  <c r="CQ96"/>
  <c r="CP130"/>
  <c r="CQ114"/>
  <c r="CT14"/>
  <c r="DT136"/>
  <c r="CV155"/>
  <c r="CX155"/>
  <c r="DM155"/>
  <c r="CI155"/>
  <c r="BV60" i="4"/>
  <c r="BT60"/>
  <c r="CN155" i="2"/>
  <c r="CK155"/>
  <c r="CS155"/>
  <c r="DQ96"/>
  <c r="DO96"/>
  <c r="DR96" s="1"/>
  <c r="DQ26"/>
  <c r="DQ115"/>
  <c r="DN92"/>
  <c r="DS11"/>
  <c r="DS12"/>
  <c r="CQ76"/>
  <c r="CQ35"/>
  <c r="DO19"/>
  <c r="DR19" s="1"/>
  <c r="CQ60"/>
  <c r="CQ45"/>
  <c r="CQ31"/>
  <c r="CQ42"/>
  <c r="CQ33"/>
  <c r="CL14"/>
  <c r="DB102"/>
  <c r="DB92"/>
  <c r="DB14"/>
  <c r="DD102"/>
  <c r="DJ102"/>
  <c r="DL46"/>
  <c r="DL14"/>
  <c r="CP154"/>
  <c r="F274" i="3"/>
  <c r="F345" s="1"/>
  <c r="C191"/>
  <c r="C262" s="1"/>
  <c r="B274"/>
  <c r="B345" s="1"/>
  <c r="DO80" i="2"/>
  <c r="DR80" s="1"/>
  <c r="DC155"/>
  <c r="DK155"/>
  <c r="D174" i="3"/>
  <c r="DO38" i="2"/>
  <c r="DT38" s="1"/>
  <c r="DR153"/>
  <c r="AG53"/>
  <c r="DS53" s="1"/>
  <c r="DS134"/>
  <c r="DS119"/>
  <c r="AD155"/>
  <c r="DN130"/>
  <c r="DO32"/>
  <c r="DT32" s="1"/>
  <c r="CQ20"/>
  <c r="CQ24"/>
  <c r="CQ11"/>
  <c r="DO57"/>
  <c r="DR57" s="1"/>
  <c r="CQ34"/>
  <c r="DO21"/>
  <c r="CQ39"/>
  <c r="CQ18"/>
  <c r="DF102"/>
  <c r="DF14"/>
  <c r="DH102"/>
  <c r="DJ68"/>
  <c r="CP14"/>
  <c r="AI53"/>
  <c r="B174" i="3"/>
  <c r="E191"/>
  <c r="E262" s="1"/>
  <c r="D191"/>
  <c r="D262" s="1"/>
  <c r="D274"/>
  <c r="D345" s="1"/>
  <c r="E274"/>
  <c r="E345" s="1"/>
  <c r="BU86" i="4"/>
  <c r="BS15"/>
  <c r="AS23"/>
  <c r="BS28"/>
  <c r="BQ28"/>
  <c r="BT28" s="1"/>
  <c r="BQ30"/>
  <c r="BV30" s="1"/>
  <c r="AS31"/>
  <c r="BQ41"/>
  <c r="BT41" s="1"/>
  <c r="BU51"/>
  <c r="BS63"/>
  <c r="BQ65"/>
  <c r="BT65" s="1"/>
  <c r="CE68" i="2"/>
  <c r="DS115"/>
  <c r="CJ102"/>
  <c r="CO102"/>
  <c r="CO130"/>
  <c r="CQ142"/>
  <c r="DS22"/>
  <c r="BL122" i="4"/>
  <c r="BQ19"/>
  <c r="BT19" s="1"/>
  <c r="AI32" i="2"/>
  <c r="DS32"/>
  <c r="AI141"/>
  <c r="DQ141"/>
  <c r="AI34"/>
  <c r="DQ34"/>
  <c r="DD68"/>
  <c r="DD46"/>
  <c r="DF92"/>
  <c r="DH92"/>
  <c r="DJ154"/>
  <c r="DL92"/>
  <c r="CQ137"/>
  <c r="CL46"/>
  <c r="CJ14"/>
  <c r="AI7"/>
  <c r="DS135"/>
  <c r="DS118"/>
  <c r="DQ137"/>
  <c r="AI36"/>
  <c r="DQ22"/>
  <c r="CQ140"/>
  <c r="CO14"/>
  <c r="CQ64"/>
  <c r="CT130"/>
  <c r="CW102"/>
  <c r="CF154"/>
  <c r="DQ134"/>
  <c r="DQ42"/>
  <c r="DN46"/>
  <c r="DQ84"/>
  <c r="DO18"/>
  <c r="DT18" s="1"/>
  <c r="DQ87"/>
  <c r="CQ118"/>
  <c r="G16" i="3"/>
  <c r="F174"/>
  <c r="DQ88" i="2"/>
  <c r="AI88"/>
  <c r="DS88"/>
  <c r="DQ64"/>
  <c r="DS64"/>
  <c r="AI64"/>
  <c r="AI97"/>
  <c r="DS97"/>
  <c r="DQ97"/>
  <c r="AI41"/>
  <c r="DQ41"/>
  <c r="DS98"/>
  <c r="CL130"/>
  <c r="DO33"/>
  <c r="DT33" s="1"/>
  <c r="CQ88"/>
  <c r="DO83"/>
  <c r="CQ97"/>
  <c r="DO150"/>
  <c r="DR150" s="1"/>
  <c r="DS29"/>
  <c r="DS41"/>
  <c r="DS26"/>
  <c r="DQ40"/>
  <c r="DS33"/>
  <c r="DO65"/>
  <c r="CT68"/>
  <c r="DO45"/>
  <c r="DT45" s="1"/>
  <c r="DO43"/>
  <c r="DT43" s="1"/>
  <c r="DO31"/>
  <c r="DO30"/>
  <c r="DT30" s="1"/>
  <c r="DO42"/>
  <c r="DT42" s="1"/>
  <c r="DO35"/>
  <c r="DT35" s="1"/>
  <c r="CT46"/>
  <c r="CW92"/>
  <c r="DO118"/>
  <c r="DT118" s="1"/>
  <c r="DS89"/>
  <c r="DS141"/>
  <c r="DS38"/>
  <c r="DO34"/>
  <c r="AE14"/>
  <c r="DQ98"/>
  <c r="AI39"/>
  <c r="DQ11"/>
  <c r="DQ118"/>
  <c r="DN14"/>
  <c r="DQ44"/>
  <c r="CQ86"/>
  <c r="DS36"/>
  <c r="DQ32"/>
  <c r="BS23" i="4"/>
  <c r="AF23"/>
  <c r="DS65" i="2"/>
  <c r="BU75" i="4"/>
  <c r="AF75"/>
  <c r="CA75" s="1"/>
  <c r="BS75"/>
  <c r="C174" i="3"/>
  <c r="B191"/>
  <c r="B262" s="1"/>
  <c r="C274"/>
  <c r="C345" s="1"/>
  <c r="AY122" i="4"/>
  <c r="BH122"/>
  <c r="BU23"/>
  <c r="BU52"/>
  <c r="BS59"/>
  <c r="AS60"/>
  <c r="BQ76"/>
  <c r="DS60" i="2"/>
  <c r="AF155"/>
  <c r="CZ14"/>
  <c r="CZ46"/>
  <c r="DO64"/>
  <c r="DT64" s="1"/>
  <c r="DO82"/>
  <c r="DT82" s="1"/>
  <c r="CZ102"/>
  <c r="CZ130"/>
  <c r="DP155"/>
  <c r="AK154"/>
  <c r="CM155"/>
  <c r="CU155"/>
  <c r="DA155"/>
  <c r="DI155"/>
  <c r="AS43" i="4"/>
  <c r="AS14"/>
  <c r="BQ69"/>
  <c r="AS94"/>
  <c r="BQ98"/>
  <c r="BT98" s="1"/>
  <c r="BQ9"/>
  <c r="BT9" s="1"/>
  <c r="AJ122"/>
  <c r="AJ129" s="1"/>
  <c r="AH122"/>
  <c r="AH129" s="1"/>
  <c r="CQ89" i="2"/>
  <c r="CQ78"/>
  <c r="DO25"/>
  <c r="DR25" s="1"/>
  <c r="DO39"/>
  <c r="DR39" s="1"/>
  <c r="CQ27"/>
  <c r="CQ40"/>
  <c r="DO22"/>
  <c r="DR22" s="1"/>
  <c r="DB68"/>
  <c r="DD130"/>
  <c r="DD92"/>
  <c r="DD14"/>
  <c r="DF154"/>
  <c r="DF130"/>
  <c r="DH130"/>
  <c r="DJ130"/>
  <c r="DL154"/>
  <c r="DL102"/>
  <c r="CQ80"/>
  <c r="CQ19"/>
  <c r="DO63"/>
  <c r="DR63" s="1"/>
  <c r="CQ82"/>
  <c r="CQ135"/>
  <c r="DS34"/>
  <c r="CT92"/>
  <c r="AF15" i="4"/>
  <c r="AF63"/>
  <c r="AS63"/>
  <c r="AG152" i="2"/>
  <c r="AG154" s="1"/>
  <c r="AE154"/>
  <c r="AG114"/>
  <c r="AG130" s="1"/>
  <c r="AE130"/>
  <c r="AI83"/>
  <c r="DQ83"/>
  <c r="DS63"/>
  <c r="DQ63"/>
  <c r="AI57"/>
  <c r="DQ57"/>
  <c r="DS57"/>
  <c r="DQ31"/>
  <c r="DS31"/>
  <c r="AI31"/>
  <c r="CQ28"/>
  <c r="DO28"/>
  <c r="DT28" s="1"/>
  <c r="BU14" i="4"/>
  <c r="BS14"/>
  <c r="AF14"/>
  <c r="AF98"/>
  <c r="BU98"/>
  <c r="BS98"/>
  <c r="AF104"/>
  <c r="BU104"/>
  <c r="BS104"/>
  <c r="DQ142" i="2"/>
  <c r="AI142"/>
  <c r="AI140"/>
  <c r="DS140"/>
  <c r="DQ45"/>
  <c r="AI45"/>
  <c r="AE46"/>
  <c r="AG21"/>
  <c r="DO41"/>
  <c r="CQ41"/>
  <c r="DS153"/>
  <c r="DQ153"/>
  <c r="CZ68"/>
  <c r="DO58"/>
  <c r="CZ92"/>
  <c r="CZ154"/>
  <c r="CY155"/>
  <c r="AI95"/>
  <c r="AG102"/>
  <c r="AH92"/>
  <c r="AC68"/>
  <c r="AE58"/>
  <c r="DQ28"/>
  <c r="AI28"/>
  <c r="DS28"/>
  <c r="AI25"/>
  <c r="DS25"/>
  <c r="DQ25"/>
  <c r="AI35"/>
  <c r="DS35"/>
  <c r="DQ35"/>
  <c r="DQ18"/>
  <c r="DS18"/>
  <c r="AI18"/>
  <c r="AI12"/>
  <c r="DQ12"/>
  <c r="AG14"/>
  <c r="DS142"/>
  <c r="DQ82"/>
  <c r="AI82"/>
  <c r="DS82"/>
  <c r="DO141"/>
  <c r="CQ141"/>
  <c r="DO134"/>
  <c r="CQ134"/>
  <c r="CJ130"/>
  <c r="DO114"/>
  <c r="CQ84"/>
  <c r="DO84"/>
  <c r="CQ72"/>
  <c r="CJ92"/>
  <c r="DO61"/>
  <c r="CJ68"/>
  <c r="CQ61"/>
  <c r="CQ36"/>
  <c r="DO36"/>
  <c r="DO44"/>
  <c r="CQ44"/>
  <c r="CJ154"/>
  <c r="DQ140"/>
  <c r="DO89"/>
  <c r="DO140"/>
  <c r="DT140" s="1"/>
  <c r="AI65"/>
  <c r="DQ65"/>
  <c r="DN68"/>
  <c r="AI119"/>
  <c r="DQ119"/>
  <c r="AI80"/>
  <c r="AI43"/>
  <c r="DS43"/>
  <c r="DQ43"/>
  <c r="AI30"/>
  <c r="DS30"/>
  <c r="DS39"/>
  <c r="DS44"/>
  <c r="CQ150"/>
  <c r="CO154"/>
  <c r="AI33"/>
  <c r="DO115"/>
  <c r="DO40"/>
  <c r="DO27"/>
  <c r="DS137"/>
  <c r="AG72"/>
  <c r="AE92"/>
  <c r="DO142"/>
  <c r="DT142" s="1"/>
  <c r="CQ115"/>
  <c r="CQ63"/>
  <c r="CJ46"/>
  <c r="DO20"/>
  <c r="DO24"/>
  <c r="CQ22"/>
  <c r="DO11"/>
  <c r="DO76"/>
  <c r="CL68"/>
  <c r="CQ21"/>
  <c r="DB46"/>
  <c r="DD154"/>
  <c r="DF68"/>
  <c r="DH46"/>
  <c r="DL130"/>
  <c r="DO137"/>
  <c r="DQ89"/>
  <c r="DQ20"/>
  <c r="DS20"/>
  <c r="DS24"/>
  <c r="CW154"/>
  <c r="DS87"/>
  <c r="DS80"/>
  <c r="DS13"/>
  <c r="DQ13"/>
  <c r="DG155"/>
  <c r="AJ155"/>
  <c r="DN154"/>
  <c r="DO97"/>
  <c r="DQ135"/>
  <c r="AI109"/>
  <c r="DQ150"/>
  <c r="DS61"/>
  <c r="DQ39"/>
  <c r="DQ29"/>
  <c r="CQ83"/>
  <c r="AE102"/>
  <c r="DQ61"/>
  <c r="DQ24"/>
  <c r="AC92"/>
  <c r="CQ12"/>
  <c r="CQ77"/>
  <c r="CQ58"/>
  <c r="CQ26"/>
  <c r="DO26"/>
  <c r="DH68"/>
  <c r="DJ92"/>
  <c r="CL92"/>
  <c r="CP46"/>
  <c r="CO46"/>
  <c r="CO68"/>
  <c r="DO152"/>
  <c r="CW46"/>
  <c r="CW68"/>
  <c r="DQ136"/>
  <c r="DR136"/>
  <c r="CR155"/>
  <c r="DE155"/>
  <c r="CE208"/>
  <c r="F191" i="3"/>
  <c r="F262" s="1"/>
  <c r="AF53" i="4"/>
  <c r="BU53"/>
  <c r="BS53"/>
  <c r="AR122"/>
  <c r="BQ59"/>
  <c r="AL122"/>
  <c r="AS59"/>
  <c r="BF122"/>
  <c r="BS65"/>
  <c r="AF65"/>
  <c r="BU65"/>
  <c r="AF102"/>
  <c r="BS102"/>
  <c r="BU102"/>
  <c r="AF9"/>
  <c r="AD122"/>
  <c r="BU9"/>
  <c r="BQ75"/>
  <c r="BV75" s="1"/>
  <c r="AS75"/>
  <c r="BU76"/>
  <c r="BS76"/>
  <c r="AF80"/>
  <c r="BS80"/>
  <c r="BU80"/>
  <c r="AS80"/>
  <c r="BQ80"/>
  <c r="AF81"/>
  <c r="BU81"/>
  <c r="BS81"/>
  <c r="AS81"/>
  <c r="BQ81"/>
  <c r="BT82"/>
  <c r="BS82"/>
  <c r="BU82"/>
  <c r="AF82"/>
  <c r="AI122"/>
  <c r="AI129" s="1"/>
  <c r="BS94"/>
  <c r="AF94"/>
  <c r="AS91"/>
  <c r="BQ91"/>
  <c r="BD122"/>
  <c r="BS19"/>
  <c r="BU19"/>
  <c r="BP122"/>
  <c r="BU122" s="1"/>
  <c r="BS29"/>
  <c r="AF29"/>
  <c r="BS30"/>
  <c r="AF30"/>
  <c r="BS43"/>
  <c r="AF43"/>
  <c r="BS51"/>
  <c r="AF51"/>
  <c r="BU69"/>
  <c r="BS69"/>
  <c r="AF69"/>
  <c r="AS86"/>
  <c r="BQ86"/>
  <c r="AB122"/>
  <c r="BS41"/>
  <c r="AQ122"/>
  <c r="AS41"/>
  <c r="BS86"/>
  <c r="BQ14"/>
  <c r="BT14" s="1"/>
  <c r="BU28"/>
  <c r="BS52"/>
  <c r="BU59"/>
  <c r="BS49"/>
  <c r="AS53"/>
  <c r="BQ53"/>
  <c r="BV82"/>
  <c r="BU87"/>
  <c r="BT87"/>
  <c r="BS87"/>
  <c r="BQ104"/>
  <c r="AS104"/>
  <c r="AN122"/>
  <c r="BU29"/>
  <c r="AF59"/>
  <c r="BU91"/>
  <c r="BS36"/>
  <c r="BU41"/>
  <c r="BB122"/>
  <c r="BJ122"/>
  <c r="BQ15"/>
  <c r="AS15"/>
  <c r="AS19"/>
  <c r="AV122"/>
  <c r="BN122"/>
  <c r="BQ23"/>
  <c r="AS28"/>
  <c r="BQ29"/>
  <c r="AS29"/>
  <c r="AS30"/>
  <c r="BU30"/>
  <c r="BU31"/>
  <c r="BU36"/>
  <c r="BU43"/>
  <c r="BQ49"/>
  <c r="AS49"/>
  <c r="AS51"/>
  <c r="AS52"/>
  <c r="BV87"/>
  <c r="AS102"/>
  <c r="AG368" i="3" l="1"/>
  <c r="J366" a="1"/>
  <c r="J366" s="1"/>
  <c r="AH366" s="1"/>
  <c r="J361" a="1"/>
  <c r="J361" s="1"/>
  <c r="AH361" s="1"/>
  <c r="J358" a="1"/>
  <c r="J358" s="1"/>
  <c r="AH358" s="1"/>
  <c r="J355" a="1"/>
  <c r="J355" s="1"/>
  <c r="AH355" s="1"/>
  <c r="J367" a="1"/>
  <c r="J367" s="1"/>
  <c r="AH367" s="1"/>
  <c r="J362" a="1"/>
  <c r="J362" s="1"/>
  <c r="AH362" s="1"/>
  <c r="AI65" a="1"/>
  <c r="AI65" s="1"/>
  <c r="AI360" a="1"/>
  <c r="AI360" s="1"/>
  <c r="AI356" a="1"/>
  <c r="AI356" s="1"/>
  <c r="AI359" a="1"/>
  <c r="AI359" s="1"/>
  <c r="AI363" a="1"/>
  <c r="AI363" s="1"/>
  <c r="AI358" a="1"/>
  <c r="AI358" s="1"/>
  <c r="AI365" a="1"/>
  <c r="AI365" s="1"/>
  <c r="AI364" a="1"/>
  <c r="AI364" s="1"/>
  <c r="AI362" a="1"/>
  <c r="AI362" s="1"/>
  <c r="AI367" a="1"/>
  <c r="AI367" s="1"/>
  <c r="AI355" a="1"/>
  <c r="AI355" s="1"/>
  <c r="AI366" a="1"/>
  <c r="AI366" s="1"/>
  <c r="AI361" a="1"/>
  <c r="AI361" s="1"/>
  <c r="AI357" a="1"/>
  <c r="AI357" s="1"/>
  <c r="J359" a="1"/>
  <c r="J359" s="1"/>
  <c r="AH359" s="1"/>
  <c r="J356" a="1"/>
  <c r="J356" s="1"/>
  <c r="AH356" s="1"/>
  <c r="J363" a="1"/>
  <c r="J363" s="1"/>
  <c r="AH363" s="1"/>
  <c r="J365" a="1"/>
  <c r="J365" s="1"/>
  <c r="AH365" s="1"/>
  <c r="J360" a="1"/>
  <c r="J360" s="1"/>
  <c r="AH360" s="1"/>
  <c r="J357" a="1"/>
  <c r="J357" s="1"/>
  <c r="AH357" s="1"/>
  <c r="J364" a="1"/>
  <c r="J364" s="1"/>
  <c r="AH364" s="1"/>
  <c r="BV9" i="4"/>
  <c r="CA46" i="2"/>
  <c r="CA53"/>
  <c r="AO155" i="3" a="1"/>
  <c r="AO155" s="1"/>
  <c r="DR87" i="2"/>
  <c r="BV98" i="4"/>
  <c r="DR119" i="2"/>
  <c r="AO162" i="3" a="1"/>
  <c r="AO162" s="1"/>
  <c r="DS8" i="2"/>
  <c r="DS102"/>
  <c r="CQ102"/>
  <c r="CC68"/>
  <c r="DR60"/>
  <c r="CE155"/>
  <c r="AN91" i="3" s="1" a="1"/>
  <c r="AN91" s="1"/>
  <c r="CA14" i="2"/>
  <c r="DT135"/>
  <c r="BZ154"/>
  <c r="CA130"/>
  <c r="DT29"/>
  <c r="DT12"/>
  <c r="J59" i="3" a="1"/>
  <c r="J59" s="1"/>
  <c r="DT80" i="2"/>
  <c r="BT30" i="4"/>
  <c r="J57" i="3" a="1"/>
  <c r="J57" s="1"/>
  <c r="AI59" a="1"/>
  <c r="AI59" s="1"/>
  <c r="J107" a="1"/>
  <c r="J107" s="1"/>
  <c r="AI57" a="1"/>
  <c r="AI57" s="1"/>
  <c r="J65" a="1"/>
  <c r="J65" s="1"/>
  <c r="AI144" a="1"/>
  <c r="AI144" s="1"/>
  <c r="AI107" a="1"/>
  <c r="AI107" s="1"/>
  <c r="AI97" a="1"/>
  <c r="AI97" s="1"/>
  <c r="AI108" a="1"/>
  <c r="AI108" s="1"/>
  <c r="AI100" a="1"/>
  <c r="AI100" s="1"/>
  <c r="AI95" a="1"/>
  <c r="AI95" s="1"/>
  <c r="AI106" a="1"/>
  <c r="AI106" s="1"/>
  <c r="AI96" a="1"/>
  <c r="AI96" s="1"/>
  <c r="AO97" a="1"/>
  <c r="AO97" s="1"/>
  <c r="AO90" a="1"/>
  <c r="AO90" s="1"/>
  <c r="J95" a="1"/>
  <c r="J95" s="1"/>
  <c r="J100" a="1"/>
  <c r="J100" s="1"/>
  <c r="AI91" a="1"/>
  <c r="AI91" s="1"/>
  <c r="AI90" a="1"/>
  <c r="AI90" s="1"/>
  <c r="J108" a="1"/>
  <c r="J108" s="1"/>
  <c r="AI105" a="1"/>
  <c r="AI105" s="1"/>
  <c r="AI104" a="1"/>
  <c r="AI104" s="1"/>
  <c r="AN97" a="1"/>
  <c r="AN97" s="1"/>
  <c r="J91" a="1"/>
  <c r="J91" s="1"/>
  <c r="J102" a="1"/>
  <c r="J102" s="1"/>
  <c r="J92" a="1"/>
  <c r="J92" s="1"/>
  <c r="J104" a="1"/>
  <c r="J104" s="1"/>
  <c r="J94" a="1"/>
  <c r="J94" s="1"/>
  <c r="J105" a="1"/>
  <c r="J105" s="1"/>
  <c r="J106" a="1"/>
  <c r="J106" s="1"/>
  <c r="J101" a="1"/>
  <c r="J101" s="1"/>
  <c r="J90" a="1"/>
  <c r="J90" s="1"/>
  <c r="AI102" a="1"/>
  <c r="AI102" s="1"/>
  <c r="AI101" a="1"/>
  <c r="AI101" s="1"/>
  <c r="J97" a="1"/>
  <c r="J97" s="1"/>
  <c r="J96" a="1"/>
  <c r="J96" s="1"/>
  <c r="AI94" a="1"/>
  <c r="AI94" s="1"/>
  <c r="AI92" a="1"/>
  <c r="AI92" s="1"/>
  <c r="I103"/>
  <c r="I89"/>
  <c r="I99"/>
  <c r="AI7" a="1"/>
  <c r="AI7" s="1"/>
  <c r="J21" a="1"/>
  <c r="J21" s="1"/>
  <c r="AI74" a="1"/>
  <c r="AI74" s="1"/>
  <c r="AI63" a="1"/>
  <c r="AI63" s="1"/>
  <c r="AI41" a="1"/>
  <c r="AI41" s="1"/>
  <c r="AI28" a="1"/>
  <c r="AI28" s="1"/>
  <c r="AI67" a="1"/>
  <c r="AI67" s="1"/>
  <c r="AI55" a="1"/>
  <c r="AI55" s="1"/>
  <c r="AI46" a="1"/>
  <c r="AI46" s="1"/>
  <c r="AI31" a="1"/>
  <c r="AI31" s="1"/>
  <c r="AI22" a="1"/>
  <c r="AI22" s="1"/>
  <c r="AI68" a="1"/>
  <c r="AI68" s="1"/>
  <c r="AI56" a="1"/>
  <c r="AI56" s="1"/>
  <c r="AI47" a="1"/>
  <c r="AI47" s="1"/>
  <c r="AI35" a="1"/>
  <c r="AI35" s="1"/>
  <c r="AI23" a="1"/>
  <c r="AI23" s="1"/>
  <c r="J71" a="1"/>
  <c r="J71" s="1"/>
  <c r="J49" a="1"/>
  <c r="J49" s="1"/>
  <c r="J34" a="1"/>
  <c r="J34" s="1"/>
  <c r="J78" a="1"/>
  <c r="J78" s="1"/>
  <c r="J62" a="1"/>
  <c r="J62" s="1"/>
  <c r="J50" a="1"/>
  <c r="J50" s="1"/>
  <c r="J37" a="1"/>
  <c r="J37" s="1"/>
  <c r="J27" a="1"/>
  <c r="J27" s="1"/>
  <c r="J69" a="1"/>
  <c r="J69" s="1"/>
  <c r="J64" a="1"/>
  <c r="J64" s="1"/>
  <c r="J51" a="1"/>
  <c r="J51" s="1"/>
  <c r="J39" a="1"/>
  <c r="J39" s="1"/>
  <c r="J29" a="1"/>
  <c r="J29" s="1"/>
  <c r="AI73" a="1"/>
  <c r="AI73" s="1"/>
  <c r="AI66" a="1"/>
  <c r="AI66" s="1"/>
  <c r="AI45" a="1"/>
  <c r="AI45" s="1"/>
  <c r="AI32" a="1"/>
  <c r="AI32" s="1"/>
  <c r="AI76" a="1"/>
  <c r="AI76" s="1"/>
  <c r="AI60" a="1"/>
  <c r="AI60" s="1"/>
  <c r="AI48" a="1"/>
  <c r="AI48" s="1"/>
  <c r="AI40" a="1"/>
  <c r="AI40" s="1"/>
  <c r="AI24" a="1"/>
  <c r="AI24" s="1"/>
  <c r="AI77" a="1"/>
  <c r="AI77" s="1"/>
  <c r="AI61" a="1"/>
  <c r="AI61" s="1"/>
  <c r="AI42" a="1"/>
  <c r="AI42" s="1"/>
  <c r="AI36" a="1"/>
  <c r="AI36" s="1"/>
  <c r="AI26" a="1"/>
  <c r="AI26" s="1"/>
  <c r="J73" a="1"/>
  <c r="J73" s="1"/>
  <c r="J66" a="1"/>
  <c r="J66" s="1"/>
  <c r="J45" a="1"/>
  <c r="J45" s="1"/>
  <c r="J32" a="1"/>
  <c r="J32" s="1"/>
  <c r="J76" a="1"/>
  <c r="J76" s="1"/>
  <c r="J60" a="1"/>
  <c r="J60" s="1"/>
  <c r="J48" a="1"/>
  <c r="J48" s="1"/>
  <c r="J40" a="1"/>
  <c r="J40" s="1"/>
  <c r="J24" a="1"/>
  <c r="J24" s="1"/>
  <c r="J77" a="1"/>
  <c r="J77" s="1"/>
  <c r="J61" a="1"/>
  <c r="J61" s="1"/>
  <c r="J42" a="1"/>
  <c r="J42" s="1"/>
  <c r="J36" a="1"/>
  <c r="J36" s="1"/>
  <c r="J26" a="1"/>
  <c r="J26" s="1"/>
  <c r="J72" a="1"/>
  <c r="J72" s="1"/>
  <c r="DT88" i="2"/>
  <c r="AI9" i="3" a="1"/>
  <c r="AI9" s="1"/>
  <c r="AI8" a="1"/>
  <c r="AI8" s="1"/>
  <c r="CB46" i="2"/>
  <c r="AI71" i="3" a="1"/>
  <c r="AI71" s="1"/>
  <c r="AI49" a="1"/>
  <c r="AI49" s="1"/>
  <c r="AI34" a="1"/>
  <c r="AI34" s="1"/>
  <c r="AI78" a="1"/>
  <c r="AI78" s="1"/>
  <c r="AI62" a="1"/>
  <c r="AI62" s="1"/>
  <c r="AI50" a="1"/>
  <c r="AI50" s="1"/>
  <c r="AI37" a="1"/>
  <c r="AI37" s="1"/>
  <c r="AI27" a="1"/>
  <c r="AI27" s="1"/>
  <c r="AI69" a="1"/>
  <c r="AI69" s="1"/>
  <c r="AI64" a="1"/>
  <c r="AI64" s="1"/>
  <c r="AI51" a="1"/>
  <c r="AI51" s="1"/>
  <c r="AI39" a="1"/>
  <c r="AI39" s="1"/>
  <c r="AI29" a="1"/>
  <c r="AI29" s="1"/>
  <c r="J74" a="1"/>
  <c r="J74" s="1"/>
  <c r="J63" a="1"/>
  <c r="J63" s="1"/>
  <c r="J41" a="1"/>
  <c r="J41" s="1"/>
  <c r="J28" a="1"/>
  <c r="J28" s="1"/>
  <c r="J67" a="1"/>
  <c r="J67" s="1"/>
  <c r="J55" a="1"/>
  <c r="J55" s="1"/>
  <c r="J46" a="1"/>
  <c r="J46" s="1"/>
  <c r="J31" a="1"/>
  <c r="J31" s="1"/>
  <c r="J22" a="1"/>
  <c r="J22" s="1"/>
  <c r="J68" a="1"/>
  <c r="J68" s="1"/>
  <c r="J56" a="1"/>
  <c r="J56" s="1"/>
  <c r="J47" a="1"/>
  <c r="J47" s="1"/>
  <c r="J35" a="1"/>
  <c r="J35" s="1"/>
  <c r="J23" a="1"/>
  <c r="J23" s="1"/>
  <c r="I80"/>
  <c r="AI75" a="1"/>
  <c r="AI75" s="1"/>
  <c r="AI52" a="1"/>
  <c r="AI52" s="1"/>
  <c r="AI38" a="1"/>
  <c r="AI38" s="1"/>
  <c r="AI25" a="1"/>
  <c r="AI25" s="1"/>
  <c r="AI58" a="1"/>
  <c r="AI58" s="1"/>
  <c r="AI53" a="1"/>
  <c r="AI53" s="1"/>
  <c r="AI43" a="1"/>
  <c r="AI43" s="1"/>
  <c r="AI33" a="1"/>
  <c r="AI33" s="1"/>
  <c r="AI20" a="1"/>
  <c r="AI20" s="1"/>
  <c r="AI70" a="1"/>
  <c r="AI70" s="1"/>
  <c r="AI54" a="1"/>
  <c r="AI54" s="1"/>
  <c r="AI44" a="1"/>
  <c r="AI44" s="1"/>
  <c r="AI30" a="1"/>
  <c r="AI30" s="1"/>
  <c r="AI21" a="1"/>
  <c r="AI21" s="1"/>
  <c r="J75" a="1"/>
  <c r="J75" s="1"/>
  <c r="J52" a="1"/>
  <c r="J52" s="1"/>
  <c r="J38" a="1"/>
  <c r="J38" s="1"/>
  <c r="J25" a="1"/>
  <c r="J25" s="1"/>
  <c r="J58" a="1"/>
  <c r="J58" s="1"/>
  <c r="J53" a="1"/>
  <c r="J53" s="1"/>
  <c r="J43" a="1"/>
  <c r="J43" s="1"/>
  <c r="J33" a="1"/>
  <c r="J33" s="1"/>
  <c r="J20" a="1"/>
  <c r="J20" s="1"/>
  <c r="J70" a="1"/>
  <c r="J70" s="1"/>
  <c r="J54" a="1"/>
  <c r="J54" s="1"/>
  <c r="J44" a="1"/>
  <c r="J44" s="1"/>
  <c r="J30" a="1"/>
  <c r="J30" s="1"/>
  <c r="AI72" a="1"/>
  <c r="AI72" s="1"/>
  <c r="I147"/>
  <c r="I149" s="1"/>
  <c r="I368"/>
  <c r="AI140" a="1"/>
  <c r="AI140" s="1"/>
  <c r="AI141" a="1"/>
  <c r="AI141" s="1"/>
  <c r="AI145" a="1"/>
  <c r="AI145" s="1"/>
  <c r="AI143" a="1"/>
  <c r="AI143" s="1"/>
  <c r="CF155" i="2"/>
  <c r="AO163" i="3" s="1" a="1"/>
  <c r="AO163" s="1"/>
  <c r="AI142" a="1"/>
  <c r="AI142" s="1"/>
  <c r="BV65" i="4"/>
  <c r="DR98" i="2"/>
  <c r="DS154"/>
  <c r="DR118"/>
  <c r="DT57"/>
  <c r="CA68"/>
  <c r="AI13" i="3" a="1"/>
  <c r="AI13" s="1"/>
  <c r="AI11" a="1"/>
  <c r="AI11" s="1"/>
  <c r="AI5" a="1"/>
  <c r="AI5" s="1"/>
  <c r="AI6" s="1"/>
  <c r="AI139" a="1"/>
  <c r="AI139" s="1"/>
  <c r="I14"/>
  <c r="I16" s="1"/>
  <c r="BZ92" i="2"/>
  <c r="BZ102"/>
  <c r="BZ68"/>
  <c r="CB106"/>
  <c r="BV43" i="4"/>
  <c r="BT43"/>
  <c r="CC14" i="2"/>
  <c r="DT63"/>
  <c r="DR31"/>
  <c r="DT31"/>
  <c r="DT65"/>
  <c r="DR65"/>
  <c r="DT83"/>
  <c r="DR83"/>
  <c r="BV102" i="4"/>
  <c r="BT102"/>
  <c r="BV94"/>
  <c r="CB154" i="2"/>
  <c r="BV63" i="4"/>
  <c r="BT63"/>
  <c r="BV36"/>
  <c r="BT36"/>
  <c r="DR35" i="2"/>
  <c r="BV31" i="4"/>
  <c r="BT31"/>
  <c r="J368" i="3"/>
  <c r="CA102" i="2"/>
  <c r="BV41" i="4"/>
  <c r="AI8" i="2"/>
  <c r="CA154"/>
  <c r="CC102"/>
  <c r="CC154"/>
  <c r="AI12" i="3" a="1"/>
  <c r="AI12" s="1"/>
  <c r="AI137" a="1"/>
  <c r="AI137" s="1"/>
  <c r="AI138" a="1"/>
  <c r="AI138" s="1"/>
  <c r="AI146" a="1"/>
  <c r="AI146" s="1"/>
  <c r="BV52" i="4"/>
  <c r="BT52"/>
  <c r="J139" i="3" a="1"/>
  <c r="J139" s="1"/>
  <c r="J138" a="1"/>
  <c r="J138" s="1"/>
  <c r="J142" a="1"/>
  <c r="J142" s="1"/>
  <c r="J9" a="1"/>
  <c r="J9" s="1"/>
  <c r="J141" a="1"/>
  <c r="J141" s="1"/>
  <c r="J8" a="1"/>
  <c r="J8" s="1"/>
  <c r="J13" a="1"/>
  <c r="J13" s="1"/>
  <c r="J11" a="1"/>
  <c r="J11" s="1"/>
  <c r="J143" a="1"/>
  <c r="J143" s="1"/>
  <c r="J146" a="1"/>
  <c r="J146" s="1"/>
  <c r="AI10" a="1"/>
  <c r="AI10" s="1"/>
  <c r="J10" a="1"/>
  <c r="J10" s="1"/>
  <c r="J7" a="1"/>
  <c r="J7" s="1"/>
  <c r="J144" a="1"/>
  <c r="J144" s="1"/>
  <c r="J12" a="1"/>
  <c r="J12" s="1"/>
  <c r="J5" a="1"/>
  <c r="J5" s="1"/>
  <c r="J6" s="1"/>
  <c r="J137" a="1"/>
  <c r="J137" s="1"/>
  <c r="CA92" i="2"/>
  <c r="BW155"/>
  <c r="AG9" i="3" s="1" a="1"/>
  <c r="AG9" s="1"/>
  <c r="DH155" i="2"/>
  <c r="DR28"/>
  <c r="CQ14"/>
  <c r="DR30"/>
  <c r="DR43"/>
  <c r="DT22"/>
  <c r="DS130"/>
  <c r="DJ155"/>
  <c r="DS114"/>
  <c r="AI102"/>
  <c r="DT53"/>
  <c r="DL155"/>
  <c r="DB155"/>
  <c r="CJ155"/>
  <c r="AN162" i="3" a="1"/>
  <c r="AN162" s="1"/>
  <c r="CL155" i="2"/>
  <c r="CO155"/>
  <c r="DR33"/>
  <c r="DR42"/>
  <c r="CP155"/>
  <c r="DF155"/>
  <c r="CQ130"/>
  <c r="DT25"/>
  <c r="BV28" i="4"/>
  <c r="BV19"/>
  <c r="DR38" i="2"/>
  <c r="DR32"/>
  <c r="AC155"/>
  <c r="DR45"/>
  <c r="DT19"/>
  <c r="DR18"/>
  <c r="DT39"/>
  <c r="DD155"/>
  <c r="DO92"/>
  <c r="DR82"/>
  <c r="BT76" i="4"/>
  <c r="BV76"/>
  <c r="DR64" i="2"/>
  <c r="CZ155"/>
  <c r="BT75" i="4"/>
  <c r="CQ46" i="2"/>
  <c r="DR140"/>
  <c r="CT155"/>
  <c r="BV69" i="4"/>
  <c r="BT69"/>
  <c r="DT34" i="2"/>
  <c r="DR34"/>
  <c r="DQ102"/>
  <c r="BV104" i="4"/>
  <c r="BT104"/>
  <c r="DR27" i="2"/>
  <c r="DT27"/>
  <c r="AH155"/>
  <c r="E22" i="3" s="1" a="1"/>
  <c r="E22" s="1"/>
  <c r="AI21" i="2"/>
  <c r="DY21" s="1"/>
  <c r="DT21"/>
  <c r="DQ21"/>
  <c r="DQ46" s="1"/>
  <c r="DR21"/>
  <c r="DS21"/>
  <c r="DT97"/>
  <c r="DR97"/>
  <c r="AG92"/>
  <c r="DS92" s="1"/>
  <c r="AI72"/>
  <c r="AI92" s="1"/>
  <c r="DS72"/>
  <c r="DR72"/>
  <c r="DQ72"/>
  <c r="DQ92" s="1"/>
  <c r="DT40"/>
  <c r="DR40"/>
  <c r="BV49" i="4"/>
  <c r="BT49"/>
  <c r="BV80"/>
  <c r="BT80"/>
  <c r="DR24" i="2"/>
  <c r="DT24"/>
  <c r="DT115"/>
  <c r="DR115"/>
  <c r="BV23" i="4"/>
  <c r="BT23"/>
  <c r="AS122"/>
  <c r="BV86"/>
  <c r="BT86"/>
  <c r="CQ68" i="2"/>
  <c r="DT137"/>
  <c r="DR137"/>
  <c r="DR76"/>
  <c r="DT76"/>
  <c r="DR20"/>
  <c r="DT20"/>
  <c r="DR36"/>
  <c r="DT36"/>
  <c r="DT61"/>
  <c r="DR61"/>
  <c r="DO154"/>
  <c r="DT154" s="1"/>
  <c r="DT134"/>
  <c r="DR134"/>
  <c r="AI14"/>
  <c r="AG46"/>
  <c r="DR41"/>
  <c r="DT41"/>
  <c r="DR142"/>
  <c r="BS122" i="4"/>
  <c r="DQ114" i="2"/>
  <c r="DQ130" s="1"/>
  <c r="AI114"/>
  <c r="AI130" s="1"/>
  <c r="DR114"/>
  <c r="DO102"/>
  <c r="DT102" s="1"/>
  <c r="BV15" i="4"/>
  <c r="BT15"/>
  <c r="BV91"/>
  <c r="BT91"/>
  <c r="DR11" i="2"/>
  <c r="DR14" s="1"/>
  <c r="DO14"/>
  <c r="DT11"/>
  <c r="BV81" i="4"/>
  <c r="BT81"/>
  <c r="AF122"/>
  <c r="BV59"/>
  <c r="BT59"/>
  <c r="DR26" i="2"/>
  <c r="DT26"/>
  <c r="DT72"/>
  <c r="CQ92"/>
  <c r="DR141"/>
  <c r="DT141"/>
  <c r="DS14"/>
  <c r="AG58"/>
  <c r="DT58" s="1"/>
  <c r="AE68"/>
  <c r="AE155" s="1"/>
  <c r="DR152"/>
  <c r="DQ152"/>
  <c r="DQ154" s="1"/>
  <c r="AI152"/>
  <c r="AI154" s="1"/>
  <c r="DO46"/>
  <c r="DT114"/>
  <c r="DO130"/>
  <c r="DT130" s="1"/>
  <c r="BV29" i="4"/>
  <c r="BT29"/>
  <c r="BV14"/>
  <c r="BQ122"/>
  <c r="BV122" s="1"/>
  <c r="CW155" i="2"/>
  <c r="BV53" i="4"/>
  <c r="BT53"/>
  <c r="DT89" i="2"/>
  <c r="DR89"/>
  <c r="DT44"/>
  <c r="DR44"/>
  <c r="DR84"/>
  <c r="DT84"/>
  <c r="CQ154"/>
  <c r="DQ14"/>
  <c r="DO68"/>
  <c r="DN155"/>
  <c r="AI368" i="3" l="1"/>
  <c r="AH368"/>
  <c r="AN155" a="1"/>
  <c r="AN155" s="1"/>
  <c r="AN108" a="1"/>
  <c r="AN108" s="1"/>
  <c r="AN96" a="1"/>
  <c r="AN96" s="1"/>
  <c r="AN146" a="1"/>
  <c r="AN146" s="1"/>
  <c r="AN291" a="1"/>
  <c r="AN291" s="1"/>
  <c r="AN281" a="1"/>
  <c r="AN281" s="1"/>
  <c r="AN331" a="1"/>
  <c r="AN331" s="1"/>
  <c r="AN143" a="1"/>
  <c r="AN143" s="1"/>
  <c r="AN360" a="1"/>
  <c r="AN360" s="1"/>
  <c r="AO358" a="1"/>
  <c r="AO358" s="1"/>
  <c r="AO285" a="1"/>
  <c r="AO285" s="1"/>
  <c r="AO282" s="1"/>
  <c r="AQ143" a="1"/>
  <c r="AQ143" s="1"/>
  <c r="AO362" a="1"/>
  <c r="AO362" s="1"/>
  <c r="AO7" a="1"/>
  <c r="AO7" s="1"/>
  <c r="AN160" a="1"/>
  <c r="AN160" s="1"/>
  <c r="AN5" a="1"/>
  <c r="AN5" s="1"/>
  <c r="AN6" s="1"/>
  <c r="AN13" a="1"/>
  <c r="AN13" s="1"/>
  <c r="AN216" a="1"/>
  <c r="AN216" s="1"/>
  <c r="AN94" a="1"/>
  <c r="AN94" s="1"/>
  <c r="AO375" a="1"/>
  <c r="AO375" s="1"/>
  <c r="AO12" a="1"/>
  <c r="AO12" s="1"/>
  <c r="AN166" a="1"/>
  <c r="AN166" s="1"/>
  <c r="AN350" a="1"/>
  <c r="AN350" s="1"/>
  <c r="AN299" a="1"/>
  <c r="AN299" s="1"/>
  <c r="AN285" a="1"/>
  <c r="AN285" s="1"/>
  <c r="AN282" s="1"/>
  <c r="AN215" a="1"/>
  <c r="AN215" s="1"/>
  <c r="AN296" a="1"/>
  <c r="AN296" s="1"/>
  <c r="AN148" a="1"/>
  <c r="AN148" s="1"/>
  <c r="AN364" a="1"/>
  <c r="AN364" s="1"/>
  <c r="AN95" a="1"/>
  <c r="AN95" s="1"/>
  <c r="AN248" a="1"/>
  <c r="AN248" s="1"/>
  <c r="AN301" a="1"/>
  <c r="AN301" s="1"/>
  <c r="AN170" a="1"/>
  <c r="AN170" s="1"/>
  <c r="AN204" a="1"/>
  <c r="AN204" s="1"/>
  <c r="AN203" s="1"/>
  <c r="AN90" a="1"/>
  <c r="AN90" s="1"/>
  <c r="AN100" a="1"/>
  <c r="AN100" s="1"/>
  <c r="AO198" a="1"/>
  <c r="AO198" s="1"/>
  <c r="AO237" a="1"/>
  <c r="AO237" s="1"/>
  <c r="AN172" a="1"/>
  <c r="AN172" s="1"/>
  <c r="AN9" a="1"/>
  <c r="AN9" s="1"/>
  <c r="AN169" a="1"/>
  <c r="AN169" s="1"/>
  <c r="AN222" a="1"/>
  <c r="AN222" s="1"/>
  <c r="AN367" a="1"/>
  <c r="AN367" s="1"/>
  <c r="AN266" a="1"/>
  <c r="AN266" s="1"/>
  <c r="AN239" a="1"/>
  <c r="AN239" s="1"/>
  <c r="AN12" a="1"/>
  <c r="AN12" s="1"/>
  <c r="AN202" a="1"/>
  <c r="AN202" s="1"/>
  <c r="AN199" s="1"/>
  <c r="AO214" a="1"/>
  <c r="AO214" s="1"/>
  <c r="AO166" a="1"/>
  <c r="AO166" s="1"/>
  <c r="AO161" a="1"/>
  <c r="AO161" s="1"/>
  <c r="AN298" a="1"/>
  <c r="AN298" s="1"/>
  <c r="AN320" a="1"/>
  <c r="AN320" s="1"/>
  <c r="AN137" a="1"/>
  <c r="AN137" s="1"/>
  <c r="AN157" a="1"/>
  <c r="AN157" s="1"/>
  <c r="AN107" a="1"/>
  <c r="AN107" s="1"/>
  <c r="AN104" a="1"/>
  <c r="AN104" s="1"/>
  <c r="AN105" a="1"/>
  <c r="AN105" s="1"/>
  <c r="AN241" a="1"/>
  <c r="AN241" s="1"/>
  <c r="AN145" a="1"/>
  <c r="AN145" s="1"/>
  <c r="AN363" a="1"/>
  <c r="AN363" s="1"/>
  <c r="AN327" a="1"/>
  <c r="AN327" s="1"/>
  <c r="AN197" a="1"/>
  <c r="AN197" s="1"/>
  <c r="AN244" a="1"/>
  <c r="AN244" s="1"/>
  <c r="AN10" a="1"/>
  <c r="AN10" s="1"/>
  <c r="AN171" a="1"/>
  <c r="AN171" s="1"/>
  <c r="AN156" a="1"/>
  <c r="AN156" s="1"/>
  <c r="AN154" s="1"/>
  <c r="AN141" a="1"/>
  <c r="AN141" s="1"/>
  <c r="AN356" a="1"/>
  <c r="AN356" s="1"/>
  <c r="AN7" a="1"/>
  <c r="AN7" s="1"/>
  <c r="AN193" a="1"/>
  <c r="AN193" s="1"/>
  <c r="AN192" s="1"/>
  <c r="AN280" a="1"/>
  <c r="AN280" s="1"/>
  <c r="AN326" a="1"/>
  <c r="AN326" s="1"/>
  <c r="AN165" a="1"/>
  <c r="AN165" s="1"/>
  <c r="AO326" a="1"/>
  <c r="AO326" s="1"/>
  <c r="AO170" a="1"/>
  <c r="AO170" s="1"/>
  <c r="AO298" a="1"/>
  <c r="AO298" s="1"/>
  <c r="AO350" a="1"/>
  <c r="AO350" s="1"/>
  <c r="AO373" a="1"/>
  <c r="AO373" s="1"/>
  <c r="AO137" a="1"/>
  <c r="AO137" s="1"/>
  <c r="AO221" a="1"/>
  <c r="AO221" s="1"/>
  <c r="AO296" a="1"/>
  <c r="AO296" s="1"/>
  <c r="AO146" a="1"/>
  <c r="AO146" s="1"/>
  <c r="AO359" a="1"/>
  <c r="AO359" s="1"/>
  <c r="AO224" a="1"/>
  <c r="AO224" s="1"/>
  <c r="AO244" a="1"/>
  <c r="AO244" s="1"/>
  <c r="AO299" a="1"/>
  <c r="AO299" s="1"/>
  <c r="AO305" a="1"/>
  <c r="AO305" s="1"/>
  <c r="AO304" a="1"/>
  <c r="AO304" s="1"/>
  <c r="AO233" a="1"/>
  <c r="AO233" s="1"/>
  <c r="AO232" s="1"/>
  <c r="AO148" a="1"/>
  <c r="AO148" s="1"/>
  <c r="AO327" a="1"/>
  <c r="AO327" s="1"/>
  <c r="AO10" a="1"/>
  <c r="AO10" s="1"/>
  <c r="AO293" a="1"/>
  <c r="AO293" s="1"/>
  <c r="AO287" a="1"/>
  <c r="AO287" s="1"/>
  <c r="AO286" s="1"/>
  <c r="AO142" a="1"/>
  <c r="AO142" s="1"/>
  <c r="AO165" a="1"/>
  <c r="AO165" s="1"/>
  <c r="AO207" a="1"/>
  <c r="AO207" s="1"/>
  <c r="AO374" a="1"/>
  <c r="AO374" s="1"/>
  <c r="AO9" a="1"/>
  <c r="AO9" s="1"/>
  <c r="AO160" a="1"/>
  <c r="AO160" s="1"/>
  <c r="AO355" a="1"/>
  <c r="AO355" s="1"/>
  <c r="AQ141" a="1"/>
  <c r="AQ141" s="1"/>
  <c r="AO291" a="1"/>
  <c r="AO291" s="1"/>
  <c r="AQ137" a="1"/>
  <c r="AQ137" s="1"/>
  <c r="AO172" a="1"/>
  <c r="AO172" s="1"/>
  <c r="AO140" a="1"/>
  <c r="AO140" s="1"/>
  <c r="AO301" a="1"/>
  <c r="AO301" s="1"/>
  <c r="AO360" a="1"/>
  <c r="AO360" s="1"/>
  <c r="AO169" a="1"/>
  <c r="AO169" s="1"/>
  <c r="AO5" a="1"/>
  <c r="AO5" s="1"/>
  <c r="AV6" s="1"/>
  <c r="AQ138" a="1"/>
  <c r="AQ138" s="1"/>
  <c r="AO365" a="1"/>
  <c r="AO365" s="1"/>
  <c r="AO366" a="1"/>
  <c r="AO366" s="1"/>
  <c r="AO13" a="1"/>
  <c r="AO13" s="1"/>
  <c r="AO376" a="1"/>
  <c r="AO376" s="1"/>
  <c r="AO222" a="1"/>
  <c r="AO222" s="1"/>
  <c r="AO213" a="1"/>
  <c r="AO213" s="1"/>
  <c r="AO202" a="1"/>
  <c r="AO202" s="1"/>
  <c r="AO199" s="1"/>
  <c r="AO215" a="1"/>
  <c r="AO215" s="1"/>
  <c r="AO316" a="1"/>
  <c r="AO316" s="1"/>
  <c r="AO315" s="1"/>
  <c r="AQ139" a="1"/>
  <c r="AQ139" s="1"/>
  <c r="AO243" a="1"/>
  <c r="AO243" s="1"/>
  <c r="AO357" a="1"/>
  <c r="AO357" s="1"/>
  <c r="AO267" a="1"/>
  <c r="AO267" s="1"/>
  <c r="AO171" a="1"/>
  <c r="AO171" s="1"/>
  <c r="AO361" a="1"/>
  <c r="AO361" s="1"/>
  <c r="AQ142" a="1"/>
  <c r="AQ142" s="1"/>
  <c r="AO143" a="1"/>
  <c r="AO143" s="1"/>
  <c r="AO157" a="1"/>
  <c r="AO157" s="1"/>
  <c r="AO193" a="1"/>
  <c r="AO193" s="1"/>
  <c r="AO192" s="1"/>
  <c r="AO297" a="1"/>
  <c r="AO297" s="1"/>
  <c r="AO364" a="1"/>
  <c r="AO364" s="1"/>
  <c r="AO377" a="1"/>
  <c r="AO377" s="1"/>
  <c r="AO156" a="1"/>
  <c r="AO156" s="1"/>
  <c r="AO348" a="1"/>
  <c r="AO348" s="1"/>
  <c r="AO139" a="1"/>
  <c r="AO139" s="1"/>
  <c r="AO216" a="1"/>
  <c r="AO216" s="1"/>
  <c r="AO265" a="1"/>
  <c r="AO265" s="1"/>
  <c r="AO159" a="1"/>
  <c r="AO159" s="1"/>
  <c r="AO218" a="1"/>
  <c r="AO218" s="1"/>
  <c r="AN355" a="1"/>
  <c r="AN355" s="1"/>
  <c r="AN316" a="1"/>
  <c r="AN316" s="1"/>
  <c r="AN315" s="1"/>
  <c r="AN8" a="1"/>
  <c r="AN8" s="1"/>
  <c r="AN217" a="1"/>
  <c r="AN217" s="1"/>
  <c r="AN305" a="1"/>
  <c r="AN305" s="1"/>
  <c r="AN377" a="1"/>
  <c r="AN377" s="1"/>
  <c r="AN357" a="1"/>
  <c r="AN357" s="1"/>
  <c r="AN221" a="1"/>
  <c r="AN221" s="1"/>
  <c r="AN11" a="1"/>
  <c r="AN11" s="1"/>
  <c r="AU16" s="1"/>
  <c r="AU125" s="1"/>
  <c r="AN374" a="1"/>
  <c r="AN374" s="1"/>
  <c r="AN167" a="1"/>
  <c r="AN167" s="1"/>
  <c r="AN307" a="1"/>
  <c r="AN307" s="1"/>
  <c r="AN365" a="1"/>
  <c r="AN365" s="1"/>
  <c r="AN163" a="1"/>
  <c r="AN163" s="1"/>
  <c r="AO144" a="1"/>
  <c r="AO144" s="1"/>
  <c r="AN218" a="1"/>
  <c r="AN218" s="1"/>
  <c r="AN322" a="1"/>
  <c r="AN322" s="1"/>
  <c r="AN375" a="1"/>
  <c r="AN375" s="1"/>
  <c r="AN324" a="1"/>
  <c r="AN324" s="1"/>
  <c r="AN362" a="1"/>
  <c r="AN362" s="1"/>
  <c r="AN159" a="1"/>
  <c r="AN159" s="1"/>
  <c r="AN173" a="1"/>
  <c r="AN173" s="1"/>
  <c r="AN359" a="1"/>
  <c r="AN359" s="1"/>
  <c r="AO208" a="1"/>
  <c r="AO208" s="1"/>
  <c r="AO322" a="1"/>
  <c r="AO322" s="1"/>
  <c r="AO239" a="1"/>
  <c r="AO239" s="1"/>
  <c r="AO280" a="1"/>
  <c r="AO280" s="1"/>
  <c r="AO290" a="1"/>
  <c r="AO290" s="1"/>
  <c r="AN265" a="1"/>
  <c r="AN265" s="1"/>
  <c r="AN214" a="1"/>
  <c r="AN214" s="1"/>
  <c r="AN297" a="1"/>
  <c r="AN297" s="1"/>
  <c r="AN373" a="1"/>
  <c r="AN373" s="1"/>
  <c r="AN98" a="1"/>
  <c r="AN98" s="1"/>
  <c r="AN92" a="1"/>
  <c r="AN92" s="1"/>
  <c r="AN106" a="1"/>
  <c r="AN106" s="1"/>
  <c r="AO281" a="1"/>
  <c r="AO281" s="1"/>
  <c r="AO349" a="1"/>
  <c r="AO349" s="1"/>
  <c r="AQ146" a="1"/>
  <c r="AQ146" s="1"/>
  <c r="AQ140" a="1"/>
  <c r="AQ140" s="1"/>
  <c r="AO331" a="1"/>
  <c r="AO331" s="1"/>
  <c r="AO173" a="1"/>
  <c r="AO173" s="1"/>
  <c r="AO363" a="1"/>
  <c r="AO363" s="1"/>
  <c r="AO367" a="1"/>
  <c r="AO367" s="1"/>
  <c r="AO11" a="1"/>
  <c r="AO11" s="1"/>
  <c r="AV16" s="1"/>
  <c r="AV125" s="1"/>
  <c r="AO307" a="1"/>
  <c r="AO307" s="1"/>
  <c r="AO276" a="1"/>
  <c r="AO276" s="1"/>
  <c r="AO275" s="1"/>
  <c r="AO300" a="1"/>
  <c r="AO300" s="1"/>
  <c r="AO210" a="1"/>
  <c r="AO210" s="1"/>
  <c r="AO320" a="1"/>
  <c r="AO320" s="1"/>
  <c r="AO197" a="1"/>
  <c r="AO197" s="1"/>
  <c r="AQ148" a="1"/>
  <c r="AQ148" s="1"/>
  <c r="AO217" a="1"/>
  <c r="AO217" s="1"/>
  <c r="AO248" a="1"/>
  <c r="AO248" s="1"/>
  <c r="AO8" a="1"/>
  <c r="AO8" s="1"/>
  <c r="AO266" a="1"/>
  <c r="AO266" s="1"/>
  <c r="AO145" a="1"/>
  <c r="AO145" s="1"/>
  <c r="AO138" a="1"/>
  <c r="AO138" s="1"/>
  <c r="AO167" a="1"/>
  <c r="AO167" s="1"/>
  <c r="AO356" a="1"/>
  <c r="AO356" s="1"/>
  <c r="AN361" a="1"/>
  <c r="AN361" s="1"/>
  <c r="AN290" a="1"/>
  <c r="AN290" s="1"/>
  <c r="AN142" a="1"/>
  <c r="AN142" s="1"/>
  <c r="AN139" a="1"/>
  <c r="AN139" s="1"/>
  <c r="AN213" a="1"/>
  <c r="AN213" s="1"/>
  <c r="AN224" a="1"/>
  <c r="AN224" s="1"/>
  <c r="AN376" a="1"/>
  <c r="AN376" s="1"/>
  <c r="AN138" a="1"/>
  <c r="AN138" s="1"/>
  <c r="AN144" a="1"/>
  <c r="AN144" s="1"/>
  <c r="AN293" a="1"/>
  <c r="AN293" s="1"/>
  <c r="AN161" a="1"/>
  <c r="AN161" s="1"/>
  <c r="AN348" a="1"/>
  <c r="AN348" s="1"/>
  <c r="AN358" a="1"/>
  <c r="AN358" s="1"/>
  <c r="AN276" a="1"/>
  <c r="AN276" s="1"/>
  <c r="AN275" s="1"/>
  <c r="AN140" a="1"/>
  <c r="AN140" s="1"/>
  <c r="AN210" a="1"/>
  <c r="AN210" s="1"/>
  <c r="AN349" a="1"/>
  <c r="AN349" s="1"/>
  <c r="AN300" a="1"/>
  <c r="AN300" s="1"/>
  <c r="AN208" a="1"/>
  <c r="AN208" s="1"/>
  <c r="AN237" a="1"/>
  <c r="AN237" s="1"/>
  <c r="AN198" a="1"/>
  <c r="AN198" s="1"/>
  <c r="AN366" a="1"/>
  <c r="AN366" s="1"/>
  <c r="AN304" a="1"/>
  <c r="AN304" s="1"/>
  <c r="AN233" a="1"/>
  <c r="AN233" s="1"/>
  <c r="AN232" s="1"/>
  <c r="AN243" a="1"/>
  <c r="AN243" s="1"/>
  <c r="AO204" a="1"/>
  <c r="AO204" s="1"/>
  <c r="AO203" s="1"/>
  <c r="AQ145" a="1"/>
  <c r="AQ145" s="1"/>
  <c r="AO241" a="1"/>
  <c r="AO241" s="1"/>
  <c r="AO141" a="1"/>
  <c r="AO141" s="1"/>
  <c r="AN267" a="1"/>
  <c r="AN267" s="1"/>
  <c r="AN287" a="1"/>
  <c r="AN287" s="1"/>
  <c r="AN286" s="1"/>
  <c r="AN207" a="1"/>
  <c r="AN207" s="1"/>
  <c r="AN102" a="1"/>
  <c r="AN102" s="1"/>
  <c r="AN101" a="1"/>
  <c r="AN101" s="1"/>
  <c r="BZ155" i="2"/>
  <c r="J89" i="3"/>
  <c r="DR102" i="2"/>
  <c r="AG57" i="3" a="1"/>
  <c r="AG57" s="1"/>
  <c r="AG65" a="1"/>
  <c r="AG65" s="1"/>
  <c r="AG59" a="1"/>
  <c r="AG59" s="1"/>
  <c r="AI103"/>
  <c r="AO102" a="1"/>
  <c r="AO102" s="1"/>
  <c r="AO98" a="1"/>
  <c r="AO98" s="1"/>
  <c r="AG42" a="1"/>
  <c r="AG42" s="1"/>
  <c r="AG77" a="1"/>
  <c r="AG77" s="1"/>
  <c r="AG45" a="1"/>
  <c r="AG45" s="1"/>
  <c r="AG91" a="1"/>
  <c r="AG91" s="1"/>
  <c r="AG62" a="1"/>
  <c r="AG62" s="1"/>
  <c r="AG31" a="1"/>
  <c r="AG31" s="1"/>
  <c r="AG66" a="1"/>
  <c r="AG66" s="1"/>
  <c r="AO100" a="1"/>
  <c r="AO100" s="1"/>
  <c r="AO96" a="1"/>
  <c r="AO96" s="1"/>
  <c r="AG34" a="1"/>
  <c r="AG34" s="1"/>
  <c r="AG69" a="1"/>
  <c r="AG69" s="1"/>
  <c r="AG37" a="1"/>
  <c r="AG37" s="1"/>
  <c r="AG72" a="1"/>
  <c r="AG72" s="1"/>
  <c r="AG36" a="1"/>
  <c r="AG36" s="1"/>
  <c r="AG71" a="1"/>
  <c r="AG71" s="1"/>
  <c r="AG39" a="1"/>
  <c r="AG39" s="1"/>
  <c r="AG74" a="1"/>
  <c r="AG74" s="1"/>
  <c r="AO92" a="1"/>
  <c r="AO92" s="1"/>
  <c r="AO106" a="1"/>
  <c r="AO106" s="1"/>
  <c r="AO101" a="1"/>
  <c r="AO101" s="1"/>
  <c r="AI99"/>
  <c r="AG105" a="1"/>
  <c r="AG105" s="1"/>
  <c r="AG78" a="1"/>
  <c r="AG78" s="1"/>
  <c r="AG61" a="1"/>
  <c r="AG61" s="1"/>
  <c r="AG43" a="1"/>
  <c r="AG43" s="1"/>
  <c r="AG106" a="1"/>
  <c r="AG106" s="1"/>
  <c r="AG75" a="1"/>
  <c r="AG75" s="1"/>
  <c r="AG56" a="1"/>
  <c r="AG56" s="1"/>
  <c r="AG40" a="1"/>
  <c r="AG40" s="1"/>
  <c r="AG107" a="1"/>
  <c r="AG107" s="1"/>
  <c r="AG76" a="1"/>
  <c r="AG76" s="1"/>
  <c r="AG58" a="1"/>
  <c r="AG58" s="1"/>
  <c r="AG41" a="1"/>
  <c r="AG41" s="1"/>
  <c r="AG104" a="1"/>
  <c r="AG104" s="1"/>
  <c r="AG73" a="1"/>
  <c r="AG73" s="1"/>
  <c r="AG54" a="1"/>
  <c r="AG54" s="1"/>
  <c r="AG38" a="1"/>
  <c r="AG38" s="1"/>
  <c r="AO324" a="1"/>
  <c r="AO324" s="1"/>
  <c r="AO107" a="1"/>
  <c r="AO107" s="1"/>
  <c r="AO94" a="1"/>
  <c r="AO94" s="1"/>
  <c r="AG60" a="1"/>
  <c r="AG60" s="1"/>
  <c r="AG108" a="1"/>
  <c r="AG108" s="1"/>
  <c r="AG63" a="1"/>
  <c r="AG63" s="1"/>
  <c r="AG44" a="1"/>
  <c r="AG44" s="1"/>
  <c r="AG90" a="1"/>
  <c r="AG90" s="1"/>
  <c r="AG47" a="1"/>
  <c r="AG47" s="1"/>
  <c r="AG94" a="1"/>
  <c r="AG94" s="1"/>
  <c r="J103"/>
  <c r="AO105" a="1"/>
  <c r="AO105" s="1"/>
  <c r="AO91" a="1"/>
  <c r="AO91" s="1"/>
  <c r="AG50" a="1"/>
  <c r="AG50" s="1"/>
  <c r="AG97" a="1"/>
  <c r="AG97" s="1"/>
  <c r="AG53" a="1"/>
  <c r="AG53" s="1"/>
  <c r="AG102" a="1"/>
  <c r="AG102" s="1"/>
  <c r="AG52" a="1"/>
  <c r="AG52" s="1"/>
  <c r="AG101" a="1"/>
  <c r="AG101" s="1"/>
  <c r="AG55" a="1"/>
  <c r="AG55" s="1"/>
  <c r="AI89"/>
  <c r="J99"/>
  <c r="AO95" a="1"/>
  <c r="AO95" s="1"/>
  <c r="AO104" a="1"/>
  <c r="AO104" s="1"/>
  <c r="AO108" a="1"/>
  <c r="AO108" s="1"/>
  <c r="AG100" a="1"/>
  <c r="AG100" s="1"/>
  <c r="AG70" a="1"/>
  <c r="AG70" s="1"/>
  <c r="AG51" a="1"/>
  <c r="AG51" s="1"/>
  <c r="AG35" a="1"/>
  <c r="AG35" s="1"/>
  <c r="AG95" a="1"/>
  <c r="AG95" s="1"/>
  <c r="AG67" a="1"/>
  <c r="AG67" s="1"/>
  <c r="AG48" a="1"/>
  <c r="AG48" s="1"/>
  <c r="AG32" a="1"/>
  <c r="AG32" s="1"/>
  <c r="AG96" a="1"/>
  <c r="AG96" s="1"/>
  <c r="AG68" a="1"/>
  <c r="AG68" s="1"/>
  <c r="AG49" a="1"/>
  <c r="AG49" s="1"/>
  <c r="AG33" a="1"/>
  <c r="AG33" s="1"/>
  <c r="AG92" a="1"/>
  <c r="AG92" s="1"/>
  <c r="AG64" a="1"/>
  <c r="AG64" s="1"/>
  <c r="AG46" a="1"/>
  <c r="AG46" s="1"/>
  <c r="AG30" a="1"/>
  <c r="AG30" s="1"/>
  <c r="AG25" a="1"/>
  <c r="AG25" s="1"/>
  <c r="AG22" a="1"/>
  <c r="AG22" s="1"/>
  <c r="AG28" a="1"/>
  <c r="AG28" s="1"/>
  <c r="AG26" a="1"/>
  <c r="AG26" s="1"/>
  <c r="AG29" a="1"/>
  <c r="AG29" s="1"/>
  <c r="J80"/>
  <c r="AI80"/>
  <c r="AG20" a="1"/>
  <c r="AG20" s="1"/>
  <c r="AG23" a="1"/>
  <c r="AG23" s="1"/>
  <c r="AK155" i="2"/>
  <c r="H71" i="3" s="1" a="1"/>
  <c r="H71" s="1"/>
  <c r="AG24" a="1"/>
  <c r="AG24" s="1"/>
  <c r="AG27" a="1"/>
  <c r="AG27" s="1"/>
  <c r="AG21" a="1"/>
  <c r="AG21" s="1"/>
  <c r="AI14"/>
  <c r="AI16" s="1"/>
  <c r="AG10" a="1"/>
  <c r="AG10" s="1"/>
  <c r="AG7" a="1"/>
  <c r="AG7" s="1"/>
  <c r="AG146" a="1"/>
  <c r="AG146" s="1"/>
  <c r="E39" a="1"/>
  <c r="E39" s="1"/>
  <c r="AG142" a="1"/>
  <c r="AG142" s="1"/>
  <c r="AG141" a="1"/>
  <c r="AG141" s="1"/>
  <c r="AG11" a="1"/>
  <c r="AG11" s="1"/>
  <c r="E356" a="1"/>
  <c r="E356" s="1"/>
  <c r="E37" a="1"/>
  <c r="E37" s="1"/>
  <c r="E68" a="1"/>
  <c r="E68" s="1"/>
  <c r="E54" a="1"/>
  <c r="E54" s="1"/>
  <c r="E79" a="1"/>
  <c r="E79" s="1"/>
  <c r="E50" a="1"/>
  <c r="E50" s="1"/>
  <c r="E53" a="1"/>
  <c r="E53" s="1"/>
  <c r="E36" a="1"/>
  <c r="E36" s="1"/>
  <c r="E40" a="1"/>
  <c r="E40" s="1"/>
  <c r="E35" a="1"/>
  <c r="E35" s="1"/>
  <c r="E70" a="1"/>
  <c r="E70" s="1"/>
  <c r="AG137" a="1"/>
  <c r="AG137" s="1"/>
  <c r="AG143" a="1"/>
  <c r="AG143" s="1"/>
  <c r="E44" a="1"/>
  <c r="E44" s="1"/>
  <c r="E46" a="1"/>
  <c r="E46" s="1"/>
  <c r="E80" a="1"/>
  <c r="E80" s="1"/>
  <c r="E48" a="1"/>
  <c r="E48" s="1"/>
  <c r="E55" a="1"/>
  <c r="E55" s="1"/>
  <c r="E29" a="1"/>
  <c r="E29" s="1"/>
  <c r="E67" a="1"/>
  <c r="E67" s="1"/>
  <c r="E23" a="1"/>
  <c r="E23" s="1"/>
  <c r="DS46" i="2"/>
  <c r="E43" i="3" a="1"/>
  <c r="E43" s="1"/>
  <c r="E58" a="1"/>
  <c r="E58" s="1"/>
  <c r="E60" a="1"/>
  <c r="E60" s="1"/>
  <c r="E30" a="1"/>
  <c r="E30" s="1"/>
  <c r="E47" a="1"/>
  <c r="E47" s="1"/>
  <c r="E77" a="1"/>
  <c r="E77" s="1"/>
  <c r="E42" a="1"/>
  <c r="E42" s="1"/>
  <c r="E69" a="1"/>
  <c r="E69" s="1"/>
  <c r="AI147"/>
  <c r="AI149" s="1"/>
  <c r="E27" a="1"/>
  <c r="E27" s="1"/>
  <c r="E61" a="1"/>
  <c r="E61" s="1"/>
  <c r="E20" a="1"/>
  <c r="E20" s="1"/>
  <c r="E31" a="1"/>
  <c r="E31" s="1"/>
  <c r="E51" a="1"/>
  <c r="E51" s="1"/>
  <c r="E62" a="1"/>
  <c r="E62" s="1"/>
  <c r="E24" a="1"/>
  <c r="E24" s="1"/>
  <c r="BX155" i="2"/>
  <c r="AH57" i="3" s="1" a="1"/>
  <c r="AH57" s="1"/>
  <c r="E56" a="1"/>
  <c r="E56" s="1"/>
  <c r="E76" a="1"/>
  <c r="E76" s="1"/>
  <c r="E26" a="1"/>
  <c r="E26" s="1"/>
  <c r="E71" a="1"/>
  <c r="E71" s="1"/>
  <c r="E78" a="1"/>
  <c r="E78" s="1"/>
  <c r="E33" a="1"/>
  <c r="E33" s="1"/>
  <c r="E64" a="1"/>
  <c r="E64" s="1"/>
  <c r="E21" a="1"/>
  <c r="E21" s="1"/>
  <c r="J14"/>
  <c r="J16" s="1"/>
  <c r="AG144" a="1"/>
  <c r="AG144" s="1"/>
  <c r="AG138" a="1"/>
  <c r="AG138" s="1"/>
  <c r="AG140" a="1"/>
  <c r="AG140" s="1"/>
  <c r="AG5" a="1"/>
  <c r="AG5" s="1"/>
  <c r="CC46" i="2"/>
  <c r="J147" i="3"/>
  <c r="J149" s="1"/>
  <c r="AG8" a="1"/>
  <c r="AG8" s="1"/>
  <c r="AG12" a="1"/>
  <c r="AG12" s="1"/>
  <c r="AG13" a="1"/>
  <c r="AG13" s="1"/>
  <c r="AG145" a="1"/>
  <c r="AG145" s="1"/>
  <c r="AG139" a="1"/>
  <c r="AG139" s="1"/>
  <c r="CA155" i="2"/>
  <c r="AI46"/>
  <c r="E145" i="3" a="1"/>
  <c r="E145" s="1"/>
  <c r="E142" a="1"/>
  <c r="E142" s="1"/>
  <c r="E13" a="1"/>
  <c r="E13" s="1"/>
  <c r="E10" a="1"/>
  <c r="E10" s="1"/>
  <c r="E5" a="1"/>
  <c r="E5" s="1"/>
  <c r="E6" s="1"/>
  <c r="E7" a="1"/>
  <c r="E7" s="1"/>
  <c r="E140" a="1"/>
  <c r="E140" s="1"/>
  <c r="E361" a="1"/>
  <c r="E361" s="1"/>
  <c r="E12" a="1"/>
  <c r="E12" s="1"/>
  <c r="E355" a="1"/>
  <c r="E355" s="1"/>
  <c r="E367" a="1"/>
  <c r="E367" s="1"/>
  <c r="DT92" i="2"/>
  <c r="DR130"/>
  <c r="E359" i="3" a="1"/>
  <c r="E359" s="1"/>
  <c r="E358" a="1"/>
  <c r="E358" s="1"/>
  <c r="E139" a="1"/>
  <c r="E139" s="1"/>
  <c r="E363" a="1"/>
  <c r="E363" s="1"/>
  <c r="E9" a="1"/>
  <c r="E9" s="1"/>
  <c r="E357" a="1"/>
  <c r="E357" s="1"/>
  <c r="E365" a="1"/>
  <c r="E365" s="1"/>
  <c r="E137" a="1"/>
  <c r="E137" s="1"/>
  <c r="E138" a="1"/>
  <c r="E138" s="1"/>
  <c r="E366" a="1"/>
  <c r="E366" s="1"/>
  <c r="E148" a="1"/>
  <c r="E148" s="1"/>
  <c r="BT122" i="4"/>
  <c r="CQ155" i="2"/>
  <c r="DR46"/>
  <c r="DO155"/>
  <c r="DT14"/>
  <c r="DR154"/>
  <c r="DT46"/>
  <c r="E364" i="3" a="1"/>
  <c r="E364" s="1"/>
  <c r="E146" a="1"/>
  <c r="E146" s="1"/>
  <c r="E11" a="1"/>
  <c r="E11" s="1"/>
  <c r="E362" a="1"/>
  <c r="E362" s="1"/>
  <c r="E143" a="1"/>
  <c r="E143" s="1"/>
  <c r="E360" a="1"/>
  <c r="E360" s="1"/>
  <c r="E141" a="1"/>
  <c r="E141" s="1"/>
  <c r="DQ58" i="2"/>
  <c r="DQ68" s="1"/>
  <c r="DQ155" s="1"/>
  <c r="DR58"/>
  <c r="DR68" s="1"/>
  <c r="AI58"/>
  <c r="AG68"/>
  <c r="DS58"/>
  <c r="DR92"/>
  <c r="AN278" i="3" l="1"/>
  <c r="AR11"/>
  <c r="AO158"/>
  <c r="AN168"/>
  <c r="AO168"/>
  <c r="AN158"/>
  <c r="AO195"/>
  <c r="AN89"/>
  <c r="AN195"/>
  <c r="AO164"/>
  <c r="AU6"/>
  <c r="AN93"/>
  <c r="AO6"/>
  <c r="AO289"/>
  <c r="AN103"/>
  <c r="AN347"/>
  <c r="AN321" s="1"/>
  <c r="AN319" s="1"/>
  <c r="AN378"/>
  <c r="AO14"/>
  <c r="AO206"/>
  <c r="AN164"/>
  <c r="AN99"/>
  <c r="AO378"/>
  <c r="AN206"/>
  <c r="AN147"/>
  <c r="AN149" s="1"/>
  <c r="AO368"/>
  <c r="AO264"/>
  <c r="AO238" s="1"/>
  <c r="AO236" s="1"/>
  <c r="AN295"/>
  <c r="AO278"/>
  <c r="AO212"/>
  <c r="AN212"/>
  <c r="AN289"/>
  <c r="AN274" s="1"/>
  <c r="AO147"/>
  <c r="AO149" s="1"/>
  <c r="AO295"/>
  <c r="AO347"/>
  <c r="AO321" s="1"/>
  <c r="AO319" s="1"/>
  <c r="AN264"/>
  <c r="AN238" s="1"/>
  <c r="AN236" s="1"/>
  <c r="AN368"/>
  <c r="AN369" s="1"/>
  <c r="AO154"/>
  <c r="AQ147"/>
  <c r="AQ149" s="1"/>
  <c r="AQ369" s="1"/>
  <c r="AO191"/>
  <c r="AN14"/>
  <c r="AH7" a="1"/>
  <c r="AH7" s="1"/>
  <c r="AH11" a="1"/>
  <c r="AH11" s="1"/>
  <c r="AH137" a="1"/>
  <c r="AH137" s="1"/>
  <c r="H74" a="1"/>
  <c r="H74" s="1"/>
  <c r="AL74" s="1"/>
  <c r="H59" a="1"/>
  <c r="H59" s="1"/>
  <c r="AL59" s="1"/>
  <c r="AH59" a="1"/>
  <c r="AH59" s="1"/>
  <c r="AH65" a="1"/>
  <c r="AH65" s="1"/>
  <c r="H57" a="1"/>
  <c r="H57" s="1"/>
  <c r="AM57" s="1"/>
  <c r="H65" a="1"/>
  <c r="H65" s="1"/>
  <c r="AO89"/>
  <c r="CC155" i="2"/>
  <c r="CB155"/>
  <c r="H41" i="3" a="1"/>
  <c r="H41" s="1"/>
  <c r="AL41" s="1"/>
  <c r="H63" a="1"/>
  <c r="H63" s="1"/>
  <c r="AL63" s="1"/>
  <c r="AA91" a="1"/>
  <c r="AA91" s="1"/>
  <c r="R98" a="1"/>
  <c r="R98" s="1"/>
  <c r="N106" a="1"/>
  <c r="N106" s="1"/>
  <c r="AB108" a="1"/>
  <c r="AB108" s="1"/>
  <c r="AE108" a="1"/>
  <c r="AE108" s="1"/>
  <c r="U107" a="1"/>
  <c r="U107" s="1"/>
  <c r="K106" a="1"/>
  <c r="K106" s="1"/>
  <c r="W104" a="1"/>
  <c r="W104" s="1"/>
  <c r="N102" a="1"/>
  <c r="N102" s="1"/>
  <c r="Z100" a="1"/>
  <c r="Z100" s="1"/>
  <c r="S98" a="1"/>
  <c r="S98" s="1"/>
  <c r="K97" a="1"/>
  <c r="K97" s="1"/>
  <c r="W95" a="1"/>
  <c r="W95" s="1"/>
  <c r="M94" a="1"/>
  <c r="M94" s="1"/>
  <c r="X91" a="1"/>
  <c r="X91" s="1"/>
  <c r="N90" a="1"/>
  <c r="N90" s="1"/>
  <c r="Z105" a="1"/>
  <c r="Z105" s="1"/>
  <c r="AC101" a="1"/>
  <c r="AC101" s="1"/>
  <c r="L98" a="1"/>
  <c r="L98" s="1"/>
  <c r="P95" a="1"/>
  <c r="P95" s="1"/>
  <c r="Q91" a="1"/>
  <c r="Q91" s="1"/>
  <c r="AD104" a="1"/>
  <c r="AD104" s="1"/>
  <c r="AC100" a="1"/>
  <c r="AC100" s="1"/>
  <c r="N97" a="1"/>
  <c r="N97" s="1"/>
  <c r="P94" a="1"/>
  <c r="P94" s="1"/>
  <c r="U90" a="1"/>
  <c r="U90" s="1"/>
  <c r="H98" a="1"/>
  <c r="H98" s="1"/>
  <c r="N107" a="1"/>
  <c r="N107" s="1"/>
  <c r="AE107" a="1"/>
  <c r="AE107" s="1"/>
  <c r="U106" a="1"/>
  <c r="U106" s="1"/>
  <c r="K105" a="1"/>
  <c r="K105" s="1"/>
  <c r="X102" a="1"/>
  <c r="X102" s="1"/>
  <c r="N101" a="1"/>
  <c r="N101" s="1"/>
  <c r="AC98" a="1"/>
  <c r="AC98" s="1"/>
  <c r="U97" a="1"/>
  <c r="U97" s="1"/>
  <c r="K96" a="1"/>
  <c r="K96" s="1"/>
  <c r="W94" a="1"/>
  <c r="W94" s="1"/>
  <c r="L92" a="1"/>
  <c r="L92" s="1"/>
  <c r="X90" a="1"/>
  <c r="X90" s="1"/>
  <c r="Z106" a="1"/>
  <c r="Z106" s="1"/>
  <c r="AA102" a="1"/>
  <c r="AA102" s="1"/>
  <c r="AF98" a="1"/>
  <c r="AF98" s="1"/>
  <c r="N96" a="1"/>
  <c r="N96" s="1"/>
  <c r="H104" a="1"/>
  <c r="H104" s="1"/>
  <c r="AJ104" s="1"/>
  <c r="T94" a="1"/>
  <c r="T94" s="1"/>
  <c r="K101" a="1"/>
  <c r="K101" s="1"/>
  <c r="U91" a="1"/>
  <c r="U91" s="1"/>
  <c r="H106" a="1"/>
  <c r="H106" s="1"/>
  <c r="AJ106" s="1"/>
  <c r="AB94" a="1"/>
  <c r="AB94" s="1"/>
  <c r="S101" a="1"/>
  <c r="S101" s="1"/>
  <c r="AC91" a="1"/>
  <c r="AC91" s="1"/>
  <c r="L108" a="1"/>
  <c r="L108" s="1"/>
  <c r="S108" a="1"/>
  <c r="S108" s="1"/>
  <c r="AE106" a="1"/>
  <c r="AE106" s="1"/>
  <c r="U105" a="1"/>
  <c r="U105" s="1"/>
  <c r="K104" a="1"/>
  <c r="K104" s="1"/>
  <c r="X101" a="1"/>
  <c r="X101" s="1"/>
  <c r="N100" a="1"/>
  <c r="N100" s="1"/>
  <c r="AE97" a="1"/>
  <c r="AE97" s="1"/>
  <c r="H91" a="1"/>
  <c r="H91" s="1"/>
  <c r="AL91" s="1"/>
  <c r="V95" a="1"/>
  <c r="V95" s="1"/>
  <c r="M102" a="1"/>
  <c r="M102" s="1"/>
  <c r="W92" a="1"/>
  <c r="W92" s="1"/>
  <c r="Z107" a="1"/>
  <c r="Z107" s="1"/>
  <c r="O108" a="1"/>
  <c r="O108" s="1"/>
  <c r="AA106" a="1"/>
  <c r="AA106" s="1"/>
  <c r="Q105" a="1"/>
  <c r="Q105" s="1"/>
  <c r="AD102" a="1"/>
  <c r="AD102" s="1"/>
  <c r="T101" a="1"/>
  <c r="T101" s="1"/>
  <c r="AI98" a="1"/>
  <c r="AI98" s="1"/>
  <c r="AI93" s="1"/>
  <c r="AI109" s="1"/>
  <c r="AA97" a="1"/>
  <c r="AA97" s="1"/>
  <c r="Q96" a="1"/>
  <c r="Q96" s="1"/>
  <c r="AC94" a="1"/>
  <c r="AC94" s="1"/>
  <c r="R92" a="1"/>
  <c r="R92" s="1"/>
  <c r="AD90" a="1"/>
  <c r="AD90" s="1"/>
  <c r="P107" a="1"/>
  <c r="P107" s="1"/>
  <c r="P104" a="1"/>
  <c r="P104" s="1"/>
  <c r="S100" a="1"/>
  <c r="S100" s="1"/>
  <c r="Z96" a="1"/>
  <c r="Z96" s="1"/>
  <c r="AA92" a="1"/>
  <c r="AA92" s="1"/>
  <c r="R106" a="1"/>
  <c r="R106" s="1"/>
  <c r="Q102" a="1"/>
  <c r="Q102" s="1"/>
  <c r="V98" a="1"/>
  <c r="V98" s="1"/>
  <c r="Z95" a="1"/>
  <c r="Z95" s="1"/>
  <c r="AE91" a="1"/>
  <c r="AE91" s="1"/>
  <c r="H92" a="1"/>
  <c r="H92" s="1"/>
  <c r="AL92" s="1"/>
  <c r="V108" a="1"/>
  <c r="V108" s="1"/>
  <c r="Y108" a="1"/>
  <c r="Y108" s="1"/>
  <c r="O107" a="1"/>
  <c r="O107" s="1"/>
  <c r="AA105" a="1"/>
  <c r="AA105" s="1"/>
  <c r="Q104" a="1"/>
  <c r="Q104" s="1"/>
  <c r="AD101" a="1"/>
  <c r="AD101" s="1"/>
  <c r="T100" a="1"/>
  <c r="T100" s="1"/>
  <c r="M98" a="1"/>
  <c r="M98" s="1"/>
  <c r="AA96" a="1"/>
  <c r="AA96" s="1"/>
  <c r="Q95" a="1"/>
  <c r="Q95" s="1"/>
  <c r="AB92" a="1"/>
  <c r="AB92" s="1"/>
  <c r="R91" a="1"/>
  <c r="R91" s="1"/>
  <c r="N108" a="1"/>
  <c r="N108" s="1"/>
  <c r="N105" a="1"/>
  <c r="N105" s="1"/>
  <c r="Q101" a="1"/>
  <c r="Q101" s="1"/>
  <c r="X97" a="1"/>
  <c r="X97" s="1"/>
  <c r="Y90" a="1"/>
  <c r="Y90" s="1"/>
  <c r="R97" a="1"/>
  <c r="R97" s="1"/>
  <c r="L105" a="1"/>
  <c r="L105" s="1"/>
  <c r="T95" a="1"/>
  <c r="T95" s="1"/>
  <c r="AB95" a="1"/>
  <c r="AB95" s="1"/>
  <c r="AL106"/>
  <c r="K91" a="1"/>
  <c r="K91" s="1"/>
  <c r="Z97" a="1"/>
  <c r="Z97" s="1"/>
  <c r="T105" a="1"/>
  <c r="T105" s="1"/>
  <c r="AF108" a="1"/>
  <c r="AF108" s="1"/>
  <c r="X106" a="1"/>
  <c r="X106" s="1"/>
  <c r="Y107" a="1"/>
  <c r="Y107" s="1"/>
  <c r="O106" a="1"/>
  <c r="O106" s="1"/>
  <c r="AA104" a="1"/>
  <c r="AA104" s="1"/>
  <c r="R102" a="1"/>
  <c r="R102" s="1"/>
  <c r="AD100" a="1"/>
  <c r="AD100" s="1"/>
  <c r="W98" a="1"/>
  <c r="W98" s="1"/>
  <c r="AH10" a="1"/>
  <c r="AH10" s="1"/>
  <c r="AH5" a="1"/>
  <c r="AH5" s="1"/>
  <c r="AH6" s="1"/>
  <c r="AH140" a="1"/>
  <c r="AH140" s="1"/>
  <c r="AH146" a="1"/>
  <c r="AH146" s="1"/>
  <c r="AH105" a="1"/>
  <c r="AH105" s="1"/>
  <c r="AH97" a="1"/>
  <c r="AH97" s="1"/>
  <c r="AH95" a="1"/>
  <c r="AH95" s="1"/>
  <c r="AH94" a="1"/>
  <c r="AH94" s="1"/>
  <c r="AO103"/>
  <c r="AH96" a="1"/>
  <c r="AH96" s="1"/>
  <c r="Q90" a="1"/>
  <c r="Q90" s="1"/>
  <c r="L94" a="1"/>
  <c r="L94" s="1"/>
  <c r="AF96" a="1"/>
  <c r="AF96" s="1"/>
  <c r="Y100" a="1"/>
  <c r="Y100" s="1"/>
  <c r="Z104" a="1"/>
  <c r="Z104" s="1"/>
  <c r="M91" a="1"/>
  <c r="M91" s="1"/>
  <c r="L95" a="1"/>
  <c r="L95" s="1"/>
  <c r="T108" a="1"/>
  <c r="T108" s="1"/>
  <c r="AF106" a="1"/>
  <c r="AF106" s="1"/>
  <c r="W108" a="1"/>
  <c r="W108" s="1"/>
  <c r="AC107" a="1"/>
  <c r="AC107" s="1"/>
  <c r="M107" a="1"/>
  <c r="M107" s="1"/>
  <c r="S106" a="1"/>
  <c r="S106" s="1"/>
  <c r="Y105" a="1"/>
  <c r="Y105" s="1"/>
  <c r="AE104" a="1"/>
  <c r="AE104" s="1"/>
  <c r="O104" a="1"/>
  <c r="O104" s="1"/>
  <c r="V102" a="1"/>
  <c r="V102" s="1"/>
  <c r="AB101" a="1"/>
  <c r="AB101" s="1"/>
  <c r="L101" a="1"/>
  <c r="L101" s="1"/>
  <c r="R100" a="1"/>
  <c r="R100" s="1"/>
  <c r="AA98" a="1"/>
  <c r="AA98" s="1"/>
  <c r="K98" a="1"/>
  <c r="K98" s="1"/>
  <c r="S97" a="1"/>
  <c r="S97" s="1"/>
  <c r="Y96" a="1"/>
  <c r="Y96" s="1"/>
  <c r="AE95" a="1"/>
  <c r="AE95" s="1"/>
  <c r="O95" a="1"/>
  <c r="O95" s="1"/>
  <c r="U94" a="1"/>
  <c r="U94" s="1"/>
  <c r="Z92" a="1"/>
  <c r="Z92" s="1"/>
  <c r="AF91" a="1"/>
  <c r="AF91" s="1"/>
  <c r="P91" a="1"/>
  <c r="P91" s="1"/>
  <c r="V90" a="1"/>
  <c r="V90" s="1"/>
  <c r="AF107" a="1"/>
  <c r="AF107" s="1"/>
  <c r="V106" a="1"/>
  <c r="V106" s="1"/>
  <c r="AF104" a="1"/>
  <c r="AF104" s="1"/>
  <c r="W102" a="1"/>
  <c r="W102" s="1"/>
  <c r="M101" a="1"/>
  <c r="M101" s="1"/>
  <c r="AB98" a="1"/>
  <c r="AB98" s="1"/>
  <c r="T97" a="1"/>
  <c r="T97" s="1"/>
  <c r="AF95" a="1"/>
  <c r="AF95" s="1"/>
  <c r="V94" a="1"/>
  <c r="V94" s="1"/>
  <c r="K92" a="1"/>
  <c r="K92" s="1"/>
  <c r="W90" a="1"/>
  <c r="W90" s="1"/>
  <c r="X105" a="1"/>
  <c r="X105" s="1"/>
  <c r="N104" a="1"/>
  <c r="N104" s="1"/>
  <c r="W101" a="1"/>
  <c r="W101" s="1"/>
  <c r="M100" a="1"/>
  <c r="M100" s="1"/>
  <c r="AD97" a="1"/>
  <c r="AD97" s="1"/>
  <c r="T96" a="1"/>
  <c r="T96" s="1"/>
  <c r="AF94" a="1"/>
  <c r="AF94" s="1"/>
  <c r="Y92" a="1"/>
  <c r="Y92" s="1"/>
  <c r="O91" a="1"/>
  <c r="O91" s="1"/>
  <c r="H101" a="1"/>
  <c r="H101" s="1"/>
  <c r="AL101" s="1"/>
  <c r="H107" a="1"/>
  <c r="H107" s="1"/>
  <c r="AL107" s="1"/>
  <c r="AD108" a="1"/>
  <c r="AD108" s="1"/>
  <c r="AD107" a="1"/>
  <c r="AD107" s="1"/>
  <c r="T106" a="1"/>
  <c r="T106" s="1"/>
  <c r="Q108" a="1"/>
  <c r="Q108" s="1"/>
  <c r="W107" a="1"/>
  <c r="W107" s="1"/>
  <c r="AC106" a="1"/>
  <c r="AC106" s="1"/>
  <c r="M106" a="1"/>
  <c r="M106" s="1"/>
  <c r="S105" a="1"/>
  <c r="S105" s="1"/>
  <c r="Y104" a="1"/>
  <c r="Y104" s="1"/>
  <c r="AF102" a="1"/>
  <c r="AF102" s="1"/>
  <c r="P102" a="1"/>
  <c r="P102" s="1"/>
  <c r="V101" a="1"/>
  <c r="V101" s="1"/>
  <c r="AB100" a="1"/>
  <c r="AB100" s="1"/>
  <c r="L100" a="1"/>
  <c r="L100" s="1"/>
  <c r="U98" a="1"/>
  <c r="U98" s="1"/>
  <c r="AC97" a="1"/>
  <c r="AC97" s="1"/>
  <c r="M97" a="1"/>
  <c r="M97" s="1"/>
  <c r="S96" a="1"/>
  <c r="S96" s="1"/>
  <c r="Y95" a="1"/>
  <c r="Y95" s="1"/>
  <c r="AE94" a="1"/>
  <c r="AE94" s="1"/>
  <c r="O94" a="1"/>
  <c r="O94" s="1"/>
  <c r="T92" a="1"/>
  <c r="T92" s="1"/>
  <c r="Z91" a="1"/>
  <c r="Z91" s="1"/>
  <c r="AF90" a="1"/>
  <c r="AF90" s="1"/>
  <c r="P90" a="1"/>
  <c r="P90" s="1"/>
  <c r="T107" a="1"/>
  <c r="T107" s="1"/>
  <c r="AD105" a="1"/>
  <c r="AD105" s="1"/>
  <c r="T104" a="1"/>
  <c r="T104" s="1"/>
  <c r="K102" a="1"/>
  <c r="K102" s="1"/>
  <c r="W100" a="1"/>
  <c r="W100" s="1"/>
  <c r="P98" a="1"/>
  <c r="P98" s="1"/>
  <c r="AD96" a="1"/>
  <c r="AD96" s="1"/>
  <c r="AH104" a="1"/>
  <c r="AH104" s="1"/>
  <c r="H94" a="1"/>
  <c r="H94" s="1"/>
  <c r="AL94" s="1"/>
  <c r="M92" a="1"/>
  <c r="M92" s="1"/>
  <c r="AD95" a="1"/>
  <c r="AD95" s="1"/>
  <c r="Z98" a="1"/>
  <c r="Z98" s="1"/>
  <c r="U102" a="1"/>
  <c r="U102" s="1"/>
  <c r="K90" a="1"/>
  <c r="K90" s="1"/>
  <c r="AE92" a="1"/>
  <c r="AE92" s="1"/>
  <c r="AH101" a="1"/>
  <c r="AH101" s="1"/>
  <c r="AH100" a="1"/>
  <c r="AH100" s="1"/>
  <c r="AH108" a="1"/>
  <c r="AH108" s="1"/>
  <c r="AO99"/>
  <c r="H100" a="1"/>
  <c r="H100" s="1"/>
  <c r="AL100" s="1"/>
  <c r="U92" a="1"/>
  <c r="U92" s="1"/>
  <c r="P96" a="1"/>
  <c r="P96" s="1"/>
  <c r="AH98" a="1"/>
  <c r="AH98" s="1"/>
  <c r="AC102" a="1"/>
  <c r="AC102" s="1"/>
  <c r="S90" a="1"/>
  <c r="S90" s="1"/>
  <c r="R94" a="1"/>
  <c r="R94" s="1"/>
  <c r="X108" a="1"/>
  <c r="X108" s="1"/>
  <c r="R107" a="1"/>
  <c r="R107" s="1"/>
  <c r="AA108" a="1"/>
  <c r="AA108" s="1"/>
  <c r="K108" a="1"/>
  <c r="K108" s="1"/>
  <c r="Q107" a="1"/>
  <c r="Q107" s="1"/>
  <c r="W106" a="1"/>
  <c r="W106" s="1"/>
  <c r="AC105" a="1"/>
  <c r="AC105" s="1"/>
  <c r="M105" a="1"/>
  <c r="M105" s="1"/>
  <c r="S104" a="1"/>
  <c r="S104" s="1"/>
  <c r="Z102" a="1"/>
  <c r="Z102" s="1"/>
  <c r="AF101" a="1"/>
  <c r="AF101" s="1"/>
  <c r="P101" a="1"/>
  <c r="P101" s="1"/>
  <c r="V100" a="1"/>
  <c r="V100" s="1"/>
  <c r="V99" s="1"/>
  <c r="AE98" a="1"/>
  <c r="AE98" s="1"/>
  <c r="O98" a="1"/>
  <c r="O98" s="1"/>
  <c r="W97" a="1"/>
  <c r="W97" s="1"/>
  <c r="AC96" a="1"/>
  <c r="AC96" s="1"/>
  <c r="M96" a="1"/>
  <c r="M96" s="1"/>
  <c r="S95" a="1"/>
  <c r="S95" s="1"/>
  <c r="Y94" a="1"/>
  <c r="Y94" s="1"/>
  <c r="AD92" a="1"/>
  <c r="AD92" s="1"/>
  <c r="N92" a="1"/>
  <c r="N92" s="1"/>
  <c r="T91" a="1"/>
  <c r="T91" s="1"/>
  <c r="Z90" a="1"/>
  <c r="Z90" s="1"/>
  <c r="Z89" s="1"/>
  <c r="R108" a="1"/>
  <c r="R108" s="1"/>
  <c r="AD106" a="1"/>
  <c r="AD106" s="1"/>
  <c r="R105" a="1"/>
  <c r="R105" s="1"/>
  <c r="AE102" a="1"/>
  <c r="AE102" s="1"/>
  <c r="U101" a="1"/>
  <c r="U101" s="1"/>
  <c r="K100" a="1"/>
  <c r="K100" s="1"/>
  <c r="AB97" a="1"/>
  <c r="AB97" s="1"/>
  <c r="R96" a="1"/>
  <c r="R96" s="1"/>
  <c r="AD94" a="1"/>
  <c r="AD94" s="1"/>
  <c r="S92" a="1"/>
  <c r="S92" s="1"/>
  <c r="AE90" a="1"/>
  <c r="AE90" s="1"/>
  <c r="AF105" a="1"/>
  <c r="AF105" s="1"/>
  <c r="V104" a="1"/>
  <c r="V104" s="1"/>
  <c r="AE101" a="1"/>
  <c r="AE101" s="1"/>
  <c r="U100" a="1"/>
  <c r="U100" s="1"/>
  <c r="N98" a="1"/>
  <c r="N98" s="1"/>
  <c r="AB96" a="1"/>
  <c r="AB96" s="1"/>
  <c r="R95" a="1"/>
  <c r="R95" s="1"/>
  <c r="AF92" a="1"/>
  <c r="AF92" s="1"/>
  <c r="W91" a="1"/>
  <c r="W91" s="1"/>
  <c r="M90" a="1"/>
  <c r="M90" s="1"/>
  <c r="H90" a="1"/>
  <c r="H90" s="1"/>
  <c r="AL90" s="1"/>
  <c r="H96" a="1"/>
  <c r="H96" s="1"/>
  <c r="AL96" s="1"/>
  <c r="P108" a="1"/>
  <c r="P108" s="1"/>
  <c r="AB106" a="1"/>
  <c r="AB106" s="1"/>
  <c r="U108" a="1"/>
  <c r="U108" s="1"/>
  <c r="AA107" a="1"/>
  <c r="AA107" s="1"/>
  <c r="K107" a="1"/>
  <c r="K107" s="1"/>
  <c r="Q106" a="1"/>
  <c r="Q106" s="1"/>
  <c r="W105" a="1"/>
  <c r="W105" s="1"/>
  <c r="AC104" a="1"/>
  <c r="AC104" s="1"/>
  <c r="AC103" s="1"/>
  <c r="M104" a="1"/>
  <c r="M104" s="1"/>
  <c r="T102" a="1"/>
  <c r="T102" s="1"/>
  <c r="Z101" a="1"/>
  <c r="Z101" s="1"/>
  <c r="AF100" a="1"/>
  <c r="AF100" s="1"/>
  <c r="AF99" s="1"/>
  <c r="P100" a="1"/>
  <c r="P100" s="1"/>
  <c r="P99" s="1"/>
  <c r="Y98" a="1"/>
  <c r="Y98" s="1"/>
  <c r="I98" a="1"/>
  <c r="I98" s="1"/>
  <c r="I93" s="1"/>
  <c r="I109" s="1"/>
  <c r="Q97" a="1"/>
  <c r="Q97" s="1"/>
  <c r="W96" a="1"/>
  <c r="W96" s="1"/>
  <c r="AC95" a="1"/>
  <c r="AC95" s="1"/>
  <c r="M95" a="1"/>
  <c r="M95" s="1"/>
  <c r="S94" a="1"/>
  <c r="S94" s="1"/>
  <c r="X92" a="1"/>
  <c r="X92" s="1"/>
  <c r="AD91" a="1"/>
  <c r="AD91" s="1"/>
  <c r="N91" a="1"/>
  <c r="N91" s="1"/>
  <c r="T90" a="1"/>
  <c r="T90" s="1"/>
  <c r="T89" s="1"/>
  <c r="AB107" a="1"/>
  <c r="AB107" s="1"/>
  <c r="P106" a="1"/>
  <c r="P106" s="1"/>
  <c r="AB104" a="1"/>
  <c r="AB104" s="1"/>
  <c r="S102" a="1"/>
  <c r="S102" s="1"/>
  <c r="AE100" a="1"/>
  <c r="AE100" s="1"/>
  <c r="X98" a="1"/>
  <c r="X98" s="1"/>
  <c r="P97" a="1"/>
  <c r="P97" s="1"/>
  <c r="AH92" a="1"/>
  <c r="AH92" s="1"/>
  <c r="H108" a="1"/>
  <c r="H108" s="1"/>
  <c r="AL108" s="1"/>
  <c r="S91" a="1"/>
  <c r="S91" s="1"/>
  <c r="N95" a="1"/>
  <c r="N95" s="1"/>
  <c r="J98" a="1"/>
  <c r="J98" s="1"/>
  <c r="J93" s="1"/>
  <c r="J109" s="1"/>
  <c r="AA101" a="1"/>
  <c r="AA101" s="1"/>
  <c r="AB105" a="1"/>
  <c r="AB105" s="1"/>
  <c r="O92" a="1"/>
  <c r="O92" s="1"/>
  <c r="H97" a="1"/>
  <c r="H97" s="1"/>
  <c r="AL97" s="1"/>
  <c r="AG99"/>
  <c r="AG89"/>
  <c r="AG103"/>
  <c r="AH102" a="1"/>
  <c r="AH102" s="1"/>
  <c r="AO93"/>
  <c r="AH90" a="1"/>
  <c r="AH90" s="1"/>
  <c r="AH107" a="1"/>
  <c r="AH107" s="1"/>
  <c r="O97" a="1"/>
  <c r="O97" s="1"/>
  <c r="U96" a="1"/>
  <c r="U96" s="1"/>
  <c r="AA95" a="1"/>
  <c r="AA95" s="1"/>
  <c r="K95" a="1"/>
  <c r="K95" s="1"/>
  <c r="Q94" a="1"/>
  <c r="Q94" s="1"/>
  <c r="V92" a="1"/>
  <c r="V92" s="1"/>
  <c r="AB91" a="1"/>
  <c r="AB91" s="1"/>
  <c r="L91" a="1"/>
  <c r="L91" s="1"/>
  <c r="R90" a="1"/>
  <c r="R90" s="1"/>
  <c r="X107" a="1"/>
  <c r="X107" s="1"/>
  <c r="L106" a="1"/>
  <c r="L106" s="1"/>
  <c r="X104" a="1"/>
  <c r="X104" s="1"/>
  <c r="O102" a="1"/>
  <c r="O102" s="1"/>
  <c r="AA100" a="1"/>
  <c r="AA100" s="1"/>
  <c r="T98" a="1"/>
  <c r="T98" s="1"/>
  <c r="L97" a="1"/>
  <c r="L97" s="1"/>
  <c r="X95" a="1"/>
  <c r="X95" s="1"/>
  <c r="N94" a="1"/>
  <c r="N94" s="1"/>
  <c r="Y91" a="1"/>
  <c r="Y91" s="1"/>
  <c r="O90" a="1"/>
  <c r="O90" s="1"/>
  <c r="P105" a="1"/>
  <c r="P105" s="1"/>
  <c r="Y102" a="1"/>
  <c r="Y102" s="1"/>
  <c r="O101" a="1"/>
  <c r="O101" s="1"/>
  <c r="AD98" a="1"/>
  <c r="AD98" s="1"/>
  <c r="V97" a="1"/>
  <c r="V97" s="1"/>
  <c r="L96" a="1"/>
  <c r="L96" s="1"/>
  <c r="X94" a="1"/>
  <c r="X94" s="1"/>
  <c r="Q92" a="1"/>
  <c r="Q92" s="1"/>
  <c r="AC90" a="1"/>
  <c r="AC90" s="1"/>
  <c r="H95" a="1"/>
  <c r="H95" s="1"/>
  <c r="H105" a="1"/>
  <c r="H105" s="1"/>
  <c r="Z108" a="1"/>
  <c r="Z108" s="1"/>
  <c r="V107" a="1"/>
  <c r="V107" s="1"/>
  <c r="AC108" a="1"/>
  <c r="AC108" s="1"/>
  <c r="M108" a="1"/>
  <c r="M108" s="1"/>
  <c r="S107" a="1"/>
  <c r="S107" s="1"/>
  <c r="Y106" a="1"/>
  <c r="Y106" s="1"/>
  <c r="AE105" a="1"/>
  <c r="AE105" s="1"/>
  <c r="O105" a="1"/>
  <c r="O105" s="1"/>
  <c r="U104" a="1"/>
  <c r="U104" s="1"/>
  <c r="AB102" a="1"/>
  <c r="AB102" s="1"/>
  <c r="L102" a="1"/>
  <c r="L102" s="1"/>
  <c r="R101" a="1"/>
  <c r="R101" s="1"/>
  <c r="X100" a="1"/>
  <c r="X100" s="1"/>
  <c r="AG98" a="1"/>
  <c r="AG98" s="1"/>
  <c r="Q98" a="1"/>
  <c r="Q98" s="1"/>
  <c r="Y97" a="1"/>
  <c r="Y97" s="1"/>
  <c r="AE96" a="1"/>
  <c r="AE96" s="1"/>
  <c r="O96" a="1"/>
  <c r="O96" s="1"/>
  <c r="U95" a="1"/>
  <c r="U95" s="1"/>
  <c r="AA94" a="1"/>
  <c r="AA94" s="1"/>
  <c r="K94" a="1"/>
  <c r="K94" s="1"/>
  <c r="P92" a="1"/>
  <c r="P92" s="1"/>
  <c r="V91" a="1"/>
  <c r="V91" s="1"/>
  <c r="AB90" a="1"/>
  <c r="AB90" s="1"/>
  <c r="L90" a="1"/>
  <c r="L90" s="1"/>
  <c r="L107" a="1"/>
  <c r="L107" s="1"/>
  <c r="V105" a="1"/>
  <c r="V105" s="1"/>
  <c r="L104" a="1"/>
  <c r="L104" s="1"/>
  <c r="Y101" a="1"/>
  <c r="Y101" s="1"/>
  <c r="O100" a="1"/>
  <c r="O100" s="1"/>
  <c r="AF97" a="1"/>
  <c r="AF97" s="1"/>
  <c r="V96" a="1"/>
  <c r="V96" s="1"/>
  <c r="AH91" a="1"/>
  <c r="AH91" s="1"/>
  <c r="H102" a="1"/>
  <c r="H102" s="1"/>
  <c r="AC92" a="1"/>
  <c r="AC92" s="1"/>
  <c r="X96" a="1"/>
  <c r="X96" s="1"/>
  <c r="Q100" a="1"/>
  <c r="Q100" s="1"/>
  <c r="R104" a="1"/>
  <c r="R104" s="1"/>
  <c r="AA90" a="1"/>
  <c r="AA90" s="1"/>
  <c r="Z94" a="1"/>
  <c r="Z94" s="1"/>
  <c r="AH106" a="1"/>
  <c r="AH106" s="1"/>
  <c r="AH51" a="1"/>
  <c r="AH51" s="1"/>
  <c r="AH69" a="1"/>
  <c r="AH69" s="1"/>
  <c r="AH37" a="1"/>
  <c r="AH37" s="1"/>
  <c r="AH62" a="1"/>
  <c r="AH62" s="1"/>
  <c r="AH41" a="1"/>
  <c r="AH41" s="1"/>
  <c r="AH74" a="1"/>
  <c r="AH74" s="1"/>
  <c r="AH30" a="1"/>
  <c r="AH30" s="1"/>
  <c r="AH54" a="1"/>
  <c r="AH54" s="1"/>
  <c r="AH20" a="1"/>
  <c r="AH20" s="1"/>
  <c r="AH43" a="1"/>
  <c r="AH43" s="1"/>
  <c r="AH58" a="1"/>
  <c r="AH58" s="1"/>
  <c r="AH45" a="1"/>
  <c r="AH45" s="1"/>
  <c r="H73" a="1"/>
  <c r="H73" s="1"/>
  <c r="AH23" a="1"/>
  <c r="AH23" s="1"/>
  <c r="AH47" a="1"/>
  <c r="AH47" s="1"/>
  <c r="AH68" a="1"/>
  <c r="AH68" s="1"/>
  <c r="AH31" a="1"/>
  <c r="AH31" s="1"/>
  <c r="AH55" a="1"/>
  <c r="AH55" s="1"/>
  <c r="AL71"/>
  <c r="AH34" a="1"/>
  <c r="AH34" s="1"/>
  <c r="AH71" a="1"/>
  <c r="AH71" s="1"/>
  <c r="AM71" s="1"/>
  <c r="H34" a="1"/>
  <c r="H34" s="1"/>
  <c r="AH36" a="1"/>
  <c r="AH36" s="1"/>
  <c r="AH61" a="1"/>
  <c r="AH61" s="1"/>
  <c r="AH24" a="1"/>
  <c r="AH24" s="1"/>
  <c r="AH48" a="1"/>
  <c r="AH48" s="1"/>
  <c r="AH76" a="1"/>
  <c r="AH76" s="1"/>
  <c r="AH25" a="1"/>
  <c r="AH25" s="1"/>
  <c r="AH52" a="1"/>
  <c r="AH52" s="1"/>
  <c r="AH29" a="1"/>
  <c r="AH29" s="1"/>
  <c r="H25" a="1"/>
  <c r="H25" s="1"/>
  <c r="H38" a="1"/>
  <c r="H38" s="1"/>
  <c r="AL38" s="1"/>
  <c r="H52" a="1"/>
  <c r="H52" s="1"/>
  <c r="H75" a="1"/>
  <c r="H75" s="1"/>
  <c r="AL75" s="1"/>
  <c r="H58" a="1"/>
  <c r="H58" s="1"/>
  <c r="AL58" s="1"/>
  <c r="H46" a="1"/>
  <c r="H46" s="1"/>
  <c r="AJ46" s="1"/>
  <c r="H23" a="1"/>
  <c r="H23" s="1"/>
  <c r="H77" a="1"/>
  <c r="H77" s="1"/>
  <c r="AL77" s="1"/>
  <c r="H60" a="1"/>
  <c r="H60" s="1"/>
  <c r="AJ60" s="1"/>
  <c r="H69" a="1"/>
  <c r="H69" s="1"/>
  <c r="AJ69" s="1"/>
  <c r="H42" a="1"/>
  <c r="H42" s="1"/>
  <c r="AL42" s="1"/>
  <c r="H53" a="1"/>
  <c r="H53" s="1"/>
  <c r="AJ53" s="1"/>
  <c r="H27" a="1"/>
  <c r="H27" s="1"/>
  <c r="AL27" s="1"/>
  <c r="H55" a="1"/>
  <c r="H55" s="1"/>
  <c r="AJ55" s="1"/>
  <c r="H31" a="1"/>
  <c r="H31" s="1"/>
  <c r="AL31" s="1"/>
  <c r="H33" a="1"/>
  <c r="H33" s="1"/>
  <c r="AJ33" s="1"/>
  <c r="H78" a="1"/>
  <c r="H78" s="1"/>
  <c r="AJ78" s="1"/>
  <c r="H54" a="1"/>
  <c r="H54" s="1"/>
  <c r="AJ54" s="1"/>
  <c r="H40" a="1"/>
  <c r="H40" s="1"/>
  <c r="AJ40" s="1"/>
  <c r="H22" a="1"/>
  <c r="H22" s="1"/>
  <c r="AL22" s="1"/>
  <c r="H67" a="1"/>
  <c r="H67" s="1"/>
  <c r="AJ67" s="1"/>
  <c r="H61" a="1"/>
  <c r="H61" s="1"/>
  <c r="AJ61" s="1"/>
  <c r="H37" a="1"/>
  <c r="H37" s="1"/>
  <c r="AL37" s="1"/>
  <c r="H217" a="1"/>
  <c r="H217" s="1"/>
  <c r="H298" a="1"/>
  <c r="H298" s="1"/>
  <c r="H156" a="1"/>
  <c r="H156" s="1"/>
  <c r="H139" a="1"/>
  <c r="H139" s="1"/>
  <c r="AJ139" s="1"/>
  <c r="H290" a="1"/>
  <c r="H290" s="1"/>
  <c r="H373" a="1"/>
  <c r="H373" s="1"/>
  <c r="H221" a="1"/>
  <c r="H221" s="1"/>
  <c r="H301" a="1"/>
  <c r="H301" s="1"/>
  <c r="H267" a="1"/>
  <c r="H267" s="1"/>
  <c r="H285" a="1"/>
  <c r="H285" s="1"/>
  <c r="H282" s="1"/>
  <c r="H365" a="1"/>
  <c r="H365" s="1"/>
  <c r="H265" a="1"/>
  <c r="H265" s="1"/>
  <c r="H374" a="1"/>
  <c r="H374" s="1"/>
  <c r="H141" a="1"/>
  <c r="H141" s="1"/>
  <c r="AL141" s="1"/>
  <c r="H161" a="1"/>
  <c r="H161" s="1"/>
  <c r="H12" a="1"/>
  <c r="H12" s="1"/>
  <c r="AJ12" s="1"/>
  <c r="H208" a="1"/>
  <c r="H208" s="1"/>
  <c r="H204" a="1"/>
  <c r="H204" s="1"/>
  <c r="H203" s="1"/>
  <c r="H322" a="1"/>
  <c r="H322" s="1"/>
  <c r="H307" a="1"/>
  <c r="H307" s="1"/>
  <c r="H366" a="1"/>
  <c r="H366" s="1"/>
  <c r="H320" a="1"/>
  <c r="H320" s="1"/>
  <c r="H148" a="1"/>
  <c r="H148" s="1"/>
  <c r="H360" a="1"/>
  <c r="H360" s="1"/>
  <c r="H356" a="1"/>
  <c r="H356" s="1"/>
  <c r="H8" a="1"/>
  <c r="H8" s="1"/>
  <c r="AJ8" s="1"/>
  <c r="H155" a="1"/>
  <c r="H155" s="1"/>
  <c r="H157" a="1"/>
  <c r="H157" s="1"/>
  <c r="H287" a="1"/>
  <c r="H287" s="1"/>
  <c r="H286" s="1"/>
  <c r="H10" a="1"/>
  <c r="H10" s="1"/>
  <c r="AL10" s="1"/>
  <c r="H297" a="1"/>
  <c r="H297" s="1"/>
  <c r="H214" a="1"/>
  <c r="H214" s="1"/>
  <c r="H172" a="1"/>
  <c r="H172" s="1"/>
  <c r="H13" a="1"/>
  <c r="H13" s="1"/>
  <c r="AL13" s="1"/>
  <c r="H202" a="1"/>
  <c r="H202" s="1"/>
  <c r="H199" s="1"/>
  <c r="H293" a="1"/>
  <c r="H293" s="1"/>
  <c r="H281" a="1"/>
  <c r="H281" s="1"/>
  <c r="H361" a="1"/>
  <c r="H361" s="1"/>
  <c r="H243" a="1"/>
  <c r="H243" s="1"/>
  <c r="H198" a="1"/>
  <c r="H198" s="1"/>
  <c r="H162" a="1"/>
  <c r="H162" s="1"/>
  <c r="H327" a="1"/>
  <c r="H327" s="1"/>
  <c r="H160" a="1"/>
  <c r="H160" s="1"/>
  <c r="H210" a="1"/>
  <c r="H210" s="1"/>
  <c r="H215" a="1"/>
  <c r="H215" s="1"/>
  <c r="H9" a="1"/>
  <c r="H9" s="1"/>
  <c r="H316" a="1"/>
  <c r="H316" s="1"/>
  <c r="H315" s="1"/>
  <c r="H233" a="1"/>
  <c r="H233" s="1"/>
  <c r="H232" s="1"/>
  <c r="H165" a="1"/>
  <c r="H165" s="1"/>
  <c r="H326" a="1"/>
  <c r="H326" s="1"/>
  <c r="H163" a="1"/>
  <c r="H163" s="1"/>
  <c r="H237" a="1"/>
  <c r="H237" s="1"/>
  <c r="H193" a="1"/>
  <c r="H193" s="1"/>
  <c r="H192" s="1"/>
  <c r="H244" a="1"/>
  <c r="H244" s="1"/>
  <c r="H216" a="1"/>
  <c r="H216" s="1"/>
  <c r="H32" a="1"/>
  <c r="H32" s="1"/>
  <c r="AL32" s="1"/>
  <c r="H45" a="1"/>
  <c r="H45" s="1"/>
  <c r="H66" a="1"/>
  <c r="H66" s="1"/>
  <c r="AL66" s="1"/>
  <c r="H64" a="1"/>
  <c r="H64" s="1"/>
  <c r="AL64" s="1"/>
  <c r="H44" a="1"/>
  <c r="H44" s="1"/>
  <c r="AL44" s="1"/>
  <c r="H47" a="1"/>
  <c r="H47" s="1"/>
  <c r="AJ47" s="1"/>
  <c r="H62" a="1"/>
  <c r="H62" s="1"/>
  <c r="AL62" s="1"/>
  <c r="H51" a="1"/>
  <c r="H51" s="1"/>
  <c r="AL51" s="1"/>
  <c r="H48" a="1"/>
  <c r="H48" s="1"/>
  <c r="AL48" s="1"/>
  <c r="H24" a="1"/>
  <c r="H24" s="1"/>
  <c r="H39" a="1"/>
  <c r="H39" s="1"/>
  <c r="AJ39" s="1"/>
  <c r="H29" a="1"/>
  <c r="H29" s="1"/>
  <c r="H26" a="1"/>
  <c r="H26" s="1"/>
  <c r="H68" a="1"/>
  <c r="H68" s="1"/>
  <c r="AJ68" s="1"/>
  <c r="H50" a="1"/>
  <c r="H50" s="1"/>
  <c r="AJ50" s="1"/>
  <c r="H76" a="1"/>
  <c r="H76" s="1"/>
  <c r="H20" a="1"/>
  <c r="H20" s="1"/>
  <c r="H70" a="1"/>
  <c r="H70" s="1"/>
  <c r="AL70" s="1"/>
  <c r="H56" a="1"/>
  <c r="H56" s="1"/>
  <c r="AL56" s="1"/>
  <c r="H35" a="1"/>
  <c r="H35" s="1"/>
  <c r="AL35" s="1"/>
  <c r="H30" a="1"/>
  <c r="H30" s="1"/>
  <c r="AJ30" s="1"/>
  <c r="H43" a="1"/>
  <c r="H43" s="1"/>
  <c r="AJ43" s="1"/>
  <c r="H36" a="1"/>
  <c r="H36" s="1"/>
  <c r="AJ36" s="1"/>
  <c r="H21" a="1"/>
  <c r="H21" s="1"/>
  <c r="H248" a="1"/>
  <c r="H248" s="1"/>
  <c r="H364" a="1"/>
  <c r="H364" s="1"/>
  <c r="H305" a="1"/>
  <c r="H305" s="1"/>
  <c r="H144" a="1"/>
  <c r="H144" s="1"/>
  <c r="AL144" s="1"/>
  <c r="H239" a="1"/>
  <c r="H239" s="1"/>
  <c r="H300" a="1"/>
  <c r="H300" s="1"/>
  <c r="H349" a="1"/>
  <c r="H349" s="1"/>
  <c r="H213" a="1"/>
  <c r="H213" s="1"/>
  <c r="H5" a="1"/>
  <c r="H5" s="1"/>
  <c r="AJ5" s="1"/>
  <c r="AJ6" s="1"/>
  <c r="H363" a="1"/>
  <c r="H363" s="1"/>
  <c r="H146" a="1"/>
  <c r="H146" s="1"/>
  <c r="H350" a="1"/>
  <c r="H350" s="1"/>
  <c r="H145" a="1"/>
  <c r="H145" s="1"/>
  <c r="AL145" s="1"/>
  <c r="H143" a="1"/>
  <c r="H143" s="1"/>
  <c r="AJ143" s="1"/>
  <c r="H197" a="1"/>
  <c r="H197" s="1"/>
  <c r="H358" a="1"/>
  <c r="H358" s="1"/>
  <c r="H355" a="1"/>
  <c r="H355" s="1"/>
  <c r="H291" a="1"/>
  <c r="H291" s="1"/>
  <c r="H137" a="1"/>
  <c r="H137" s="1"/>
  <c r="H266" a="1"/>
  <c r="H266" s="1"/>
  <c r="H7" a="1"/>
  <c r="H7" s="1"/>
  <c r="AJ7" s="1"/>
  <c r="H159" a="1"/>
  <c r="H159" s="1"/>
  <c r="H357" a="1"/>
  <c r="H357" s="1"/>
  <c r="H218" a="1"/>
  <c r="H218" s="1"/>
  <c r="H140" a="1"/>
  <c r="H140" s="1"/>
  <c r="AJ140" s="1"/>
  <c r="H222" a="1"/>
  <c r="H222" s="1"/>
  <c r="H304" a="1"/>
  <c r="H304" s="1"/>
  <c r="H376" a="1"/>
  <c r="H376" s="1"/>
  <c r="H348" a="1"/>
  <c r="H348" s="1"/>
  <c r="H241" a="1"/>
  <c r="H241" s="1"/>
  <c r="H299" a="1"/>
  <c r="H299" s="1"/>
  <c r="H166" a="1"/>
  <c r="H166" s="1"/>
  <c r="H170" a="1"/>
  <c r="H170" s="1"/>
  <c r="H138" a="1"/>
  <c r="H138" s="1"/>
  <c r="AJ138" s="1"/>
  <c r="H276" a="1"/>
  <c r="H276" s="1"/>
  <c r="H275" s="1"/>
  <c r="H171" a="1"/>
  <c r="H171" s="1"/>
  <c r="H331" a="1"/>
  <c r="H331" s="1"/>
  <c r="H280" a="1"/>
  <c r="H280" s="1"/>
  <c r="H278" s="1"/>
  <c r="H296" a="1"/>
  <c r="H296" s="1"/>
  <c r="H224" a="1"/>
  <c r="H224" s="1"/>
  <c r="H359" a="1"/>
  <c r="H359" s="1"/>
  <c r="H367" a="1"/>
  <c r="H367" s="1"/>
  <c r="H207" a="1"/>
  <c r="H207" s="1"/>
  <c r="H362" a="1"/>
  <c r="H362" s="1"/>
  <c r="H11" a="1"/>
  <c r="H11" s="1"/>
  <c r="H324" a="1"/>
  <c r="H324" s="1"/>
  <c r="H167" a="1"/>
  <c r="H167" s="1"/>
  <c r="H377" a="1"/>
  <c r="H377" s="1"/>
  <c r="H169" a="1"/>
  <c r="H169" s="1"/>
  <c r="H375" a="1"/>
  <c r="H375" s="1"/>
  <c r="H173" a="1"/>
  <c r="H173" s="1"/>
  <c r="H142" a="1"/>
  <c r="H142" s="1"/>
  <c r="AL139"/>
  <c r="AL138"/>
  <c r="AJ141"/>
  <c r="AH39" a="1"/>
  <c r="AH39" s="1"/>
  <c r="AH64" a="1"/>
  <c r="AH64" s="1"/>
  <c r="AH27" a="1"/>
  <c r="AH27" s="1"/>
  <c r="AH50" a="1"/>
  <c r="AH50" s="1"/>
  <c r="AH78" a="1"/>
  <c r="AH78" s="1"/>
  <c r="AH28" a="1"/>
  <c r="AH28" s="1"/>
  <c r="AH63" a="1"/>
  <c r="AH63" s="1"/>
  <c r="AH21" a="1"/>
  <c r="AH21" s="1"/>
  <c r="AH44" a="1"/>
  <c r="AH44" s="1"/>
  <c r="AH70" a="1"/>
  <c r="AH70" s="1"/>
  <c r="AH33" a="1"/>
  <c r="AH33" s="1"/>
  <c r="AH53" a="1"/>
  <c r="AH53" s="1"/>
  <c r="AH32" a="1"/>
  <c r="AH32" s="1"/>
  <c r="AH66" a="1"/>
  <c r="AH66" s="1"/>
  <c r="AH73" a="1"/>
  <c r="AH73" s="1"/>
  <c r="AH35" a="1"/>
  <c r="AH35" s="1"/>
  <c r="AH56" a="1"/>
  <c r="AH56" s="1"/>
  <c r="AH22" a="1"/>
  <c r="AH22" s="1"/>
  <c r="AH46" a="1"/>
  <c r="AH46" s="1"/>
  <c r="AH67" a="1"/>
  <c r="AH67" s="1"/>
  <c r="AH49" a="1"/>
  <c r="AH49" s="1"/>
  <c r="AH72" a="1"/>
  <c r="AH72" s="1"/>
  <c r="H49" a="1"/>
  <c r="H49" s="1"/>
  <c r="H72" a="1"/>
  <c r="H72" s="1"/>
  <c r="AH26" a="1"/>
  <c r="AH26" s="1"/>
  <c r="AH42" a="1"/>
  <c r="AH42" s="1"/>
  <c r="AH77" a="1"/>
  <c r="AH77" s="1"/>
  <c r="AH40" a="1"/>
  <c r="AH40" s="1"/>
  <c r="AH60" a="1"/>
  <c r="AH60" s="1"/>
  <c r="AH38" a="1"/>
  <c r="AH38" s="1"/>
  <c r="AH75" a="1"/>
  <c r="AH75" s="1"/>
  <c r="H28" a="1"/>
  <c r="H28" s="1"/>
  <c r="AH12" a="1"/>
  <c r="AH12" s="1"/>
  <c r="AH9" a="1"/>
  <c r="AH9" s="1"/>
  <c r="AH13" a="1"/>
  <c r="AH13" s="1"/>
  <c r="AH8" a="1"/>
  <c r="AH8" s="1"/>
  <c r="AH144" a="1"/>
  <c r="AH144" s="1"/>
  <c r="AH145" a="1"/>
  <c r="AH145" s="1"/>
  <c r="DT68" i="2"/>
  <c r="AH143" i="3" a="1"/>
  <c r="AH143" s="1"/>
  <c r="AH138" a="1"/>
  <c r="AH138" s="1"/>
  <c r="AH142" a="1"/>
  <c r="AH142" s="1"/>
  <c r="AH141" a="1"/>
  <c r="AH141" s="1"/>
  <c r="AH139" a="1"/>
  <c r="AH139" s="1"/>
  <c r="AG147"/>
  <c r="AG149" s="1"/>
  <c r="AG6"/>
  <c r="AG14"/>
  <c r="AN16"/>
  <c r="AN177" s="1" a="1"/>
  <c r="AN177" s="1"/>
  <c r="E14"/>
  <c r="E16" s="1"/>
  <c r="DR155" i="2"/>
  <c r="E147" i="3"/>
  <c r="E149" s="1"/>
  <c r="E368"/>
  <c r="AI68" i="2"/>
  <c r="AG155"/>
  <c r="B137" i="3" s="1" a="1"/>
  <c r="B137" s="1"/>
  <c r="DS68" i="2"/>
  <c r="AJ362" i="3" l="1"/>
  <c r="AK362"/>
  <c r="AJ358"/>
  <c r="AK358"/>
  <c r="AJ359"/>
  <c r="AK359"/>
  <c r="AJ357"/>
  <c r="AK357"/>
  <c r="AJ355"/>
  <c r="AK355"/>
  <c r="AJ361"/>
  <c r="AK361"/>
  <c r="AJ360"/>
  <c r="AK360"/>
  <c r="AJ367"/>
  <c r="AK367"/>
  <c r="AJ363"/>
  <c r="AK363"/>
  <c r="AJ364"/>
  <c r="AK364"/>
  <c r="AJ356"/>
  <c r="AK356"/>
  <c r="AJ366"/>
  <c r="AK366"/>
  <c r="AJ365"/>
  <c r="AK365"/>
  <c r="AN191"/>
  <c r="AN262" s="1"/>
  <c r="AO274"/>
  <c r="AO345" s="1"/>
  <c r="AN174"/>
  <c r="AO174"/>
  <c r="AN109"/>
  <c r="AO16"/>
  <c r="AO178" s="1" a="1"/>
  <c r="AO178" s="1"/>
  <c r="AJ41"/>
  <c r="Y89"/>
  <c r="AO369"/>
  <c r="AM41"/>
  <c r="AE99"/>
  <c r="X89"/>
  <c r="W93"/>
  <c r="AN345"/>
  <c r="O99"/>
  <c r="AL98"/>
  <c r="AJ74"/>
  <c r="L89"/>
  <c r="AO262"/>
  <c r="S99"/>
  <c r="U103"/>
  <c r="S93"/>
  <c r="U89"/>
  <c r="AD99"/>
  <c r="AL7"/>
  <c r="AD89"/>
  <c r="Q103"/>
  <c r="AM98"/>
  <c r="AM74"/>
  <c r="AM106"/>
  <c r="AM91"/>
  <c r="K93"/>
  <c r="AM63"/>
  <c r="AJ91"/>
  <c r="AK76"/>
  <c r="AM137"/>
  <c r="AM146"/>
  <c r="AM11"/>
  <c r="AK41"/>
  <c r="H158"/>
  <c r="L103"/>
  <c r="AB89"/>
  <c r="AM101"/>
  <c r="AC93"/>
  <c r="T99"/>
  <c r="AB93"/>
  <c r="H195"/>
  <c r="X99"/>
  <c r="U99"/>
  <c r="AE89"/>
  <c r="W99"/>
  <c r="AJ65"/>
  <c r="AK65"/>
  <c r="AL65"/>
  <c r="AM65"/>
  <c r="AM59"/>
  <c r="AK57"/>
  <c r="AJ57"/>
  <c r="AJ59"/>
  <c r="AK59"/>
  <c r="AL57"/>
  <c r="AO109"/>
  <c r="AK98"/>
  <c r="AM75"/>
  <c r="AK69"/>
  <c r="M103"/>
  <c r="AL12"/>
  <c r="AM69"/>
  <c r="Z93"/>
  <c r="AK104"/>
  <c r="AJ13"/>
  <c r="R103"/>
  <c r="AA93"/>
  <c r="H103"/>
  <c r="AL103" s="1"/>
  <c r="P103"/>
  <c r="T93"/>
  <c r="R89"/>
  <c r="AJ92"/>
  <c r="AK11"/>
  <c r="AM10"/>
  <c r="AL8"/>
  <c r="AJ44"/>
  <c r="AK13"/>
  <c r="AM12"/>
  <c r="AM66"/>
  <c r="N99"/>
  <c r="AA103"/>
  <c r="AC99"/>
  <c r="AL69"/>
  <c r="AA89"/>
  <c r="Q99"/>
  <c r="O89"/>
  <c r="AA99"/>
  <c r="X103"/>
  <c r="AM107"/>
  <c r="AL104"/>
  <c r="AK92"/>
  <c r="AM92"/>
  <c r="N89"/>
  <c r="M93"/>
  <c r="Z99"/>
  <c r="W103"/>
  <c r="K103"/>
  <c r="K99"/>
  <c r="AD103"/>
  <c r="K89"/>
  <c r="M99"/>
  <c r="N103"/>
  <c r="AM7"/>
  <c r="AK10"/>
  <c r="AM5"/>
  <c r="AK5"/>
  <c r="AK6" s="1"/>
  <c r="AL5"/>
  <c r="AK62"/>
  <c r="AJ62"/>
  <c r="AJ27"/>
  <c r="AJ37"/>
  <c r="AM62"/>
  <c r="AM8"/>
  <c r="AK9"/>
  <c r="P93"/>
  <c r="AK64"/>
  <c r="AJ35"/>
  <c r="AK51"/>
  <c r="AM64"/>
  <c r="AL143"/>
  <c r="N93"/>
  <c r="AM97"/>
  <c r="M89"/>
  <c r="T103"/>
  <c r="Z103"/>
  <c r="AK20"/>
  <c r="AM140"/>
  <c r="AK140"/>
  <c r="AM95"/>
  <c r="AJ95"/>
  <c r="AK95"/>
  <c r="AH89"/>
  <c r="AM90"/>
  <c r="AJ108"/>
  <c r="AK108"/>
  <c r="AK96"/>
  <c r="AJ96"/>
  <c r="AH99"/>
  <c r="AM100"/>
  <c r="AM94"/>
  <c r="H93"/>
  <c r="AK94"/>
  <c r="AJ94"/>
  <c r="AJ107"/>
  <c r="AK107"/>
  <c r="AL95"/>
  <c r="AG93"/>
  <c r="V103"/>
  <c r="AD93"/>
  <c r="S103"/>
  <c r="S89"/>
  <c r="AF89"/>
  <c r="AE93"/>
  <c r="L99"/>
  <c r="AF93"/>
  <c r="V89"/>
  <c r="U93"/>
  <c r="AE103"/>
  <c r="Q89"/>
  <c r="AL102"/>
  <c r="AJ102"/>
  <c r="AK102"/>
  <c r="AJ105"/>
  <c r="AK105"/>
  <c r="AJ97"/>
  <c r="AK97"/>
  <c r="H89"/>
  <c r="AK90"/>
  <c r="AJ90"/>
  <c r="H99"/>
  <c r="AL99" s="1"/>
  <c r="AK100"/>
  <c r="AJ100"/>
  <c r="AH103"/>
  <c r="AM104"/>
  <c r="AJ101"/>
  <c r="AK101"/>
  <c r="AC89"/>
  <c r="X93"/>
  <c r="Q93"/>
  <c r="AL105"/>
  <c r="AM102"/>
  <c r="AK106"/>
  <c r="AJ98"/>
  <c r="AK91"/>
  <c r="AB103"/>
  <c r="Y93"/>
  <c r="R93"/>
  <c r="AM108"/>
  <c r="P89"/>
  <c r="O93"/>
  <c r="AB99"/>
  <c r="Y103"/>
  <c r="W89"/>
  <c r="V93"/>
  <c r="AF103"/>
  <c r="R99"/>
  <c r="O103"/>
  <c r="Y99"/>
  <c r="L93"/>
  <c r="AM96"/>
  <c r="AH93"/>
  <c r="AM105"/>
  <c r="AJ64"/>
  <c r="AL76"/>
  <c r="AL55"/>
  <c r="AM73"/>
  <c r="AL43"/>
  <c r="AM55"/>
  <c r="AK7"/>
  <c r="AJ145"/>
  <c r="AL146"/>
  <c r="AK146"/>
  <c r="AM32"/>
  <c r="AJ144"/>
  <c r="AJ77"/>
  <c r="AJ70"/>
  <c r="AK55"/>
  <c r="AJ76"/>
  <c r="AJ22"/>
  <c r="AM38"/>
  <c r="H206"/>
  <c r="H295"/>
  <c r="H347"/>
  <c r="H321" s="1"/>
  <c r="H319" s="1"/>
  <c r="AK74"/>
  <c r="H168"/>
  <c r="AG80"/>
  <c r="H154"/>
  <c r="AK72"/>
  <c r="AJ72"/>
  <c r="AT16"/>
  <c r="AT125" s="1"/>
  <c r="AJ11"/>
  <c r="AM359"/>
  <c r="AL359"/>
  <c r="AL357"/>
  <c r="AM357"/>
  <c r="AL137"/>
  <c r="H147"/>
  <c r="H149" s="1"/>
  <c r="AL149" s="1"/>
  <c r="AJ137"/>
  <c r="AM355"/>
  <c r="H368"/>
  <c r="AL355"/>
  <c r="H6"/>
  <c r="AL6" s="1"/>
  <c r="AT6"/>
  <c r="H80"/>
  <c r="H85" s="1"/>
  <c r="AL20"/>
  <c r="AJ20"/>
  <c r="AJ26"/>
  <c r="AL26"/>
  <c r="AK66"/>
  <c r="AJ66"/>
  <c r="AK32"/>
  <c r="AJ32"/>
  <c r="AL9"/>
  <c r="AJ9"/>
  <c r="AM361"/>
  <c r="AL361"/>
  <c r="AM360"/>
  <c r="AL360"/>
  <c r="AM373"/>
  <c r="AL373"/>
  <c r="H378"/>
  <c r="AL23"/>
  <c r="AJ23"/>
  <c r="AJ52"/>
  <c r="AK52"/>
  <c r="AK25"/>
  <c r="AJ25"/>
  <c r="AH80"/>
  <c r="AM80" s="1"/>
  <c r="AM20"/>
  <c r="AM72"/>
  <c r="AL72"/>
  <c r="AM28"/>
  <c r="H14"/>
  <c r="AJ56"/>
  <c r="AJ48"/>
  <c r="H264"/>
  <c r="H238" s="1"/>
  <c r="H236" s="1"/>
  <c r="AJ31"/>
  <c r="AJ42"/>
  <c r="AJ58"/>
  <c r="AL25"/>
  <c r="AM25"/>
  <c r="AM76"/>
  <c r="AL68"/>
  <c r="AL40"/>
  <c r="AL54"/>
  <c r="AL67"/>
  <c r="AL73"/>
  <c r="AL33"/>
  <c r="AL36"/>
  <c r="AM51"/>
  <c r="AL50"/>
  <c r="AJ146"/>
  <c r="AK63"/>
  <c r="AJ71"/>
  <c r="AJ28"/>
  <c r="AK28"/>
  <c r="AK49"/>
  <c r="AJ49"/>
  <c r="AL142"/>
  <c r="AJ142"/>
  <c r="AM375"/>
  <c r="AL375"/>
  <c r="AM377"/>
  <c r="AL377"/>
  <c r="AM362"/>
  <c r="AL362"/>
  <c r="AM367"/>
  <c r="AL367"/>
  <c r="AM376"/>
  <c r="AL376"/>
  <c r="AM358"/>
  <c r="AL358"/>
  <c r="AM363"/>
  <c r="AL363"/>
  <c r="AM364"/>
  <c r="AL364"/>
  <c r="AL21"/>
  <c r="AJ21"/>
  <c r="AL29"/>
  <c r="AJ29"/>
  <c r="AL24"/>
  <c r="AJ24"/>
  <c r="AJ45"/>
  <c r="AK45"/>
  <c r="AL356"/>
  <c r="AM356"/>
  <c r="AM148"/>
  <c r="AL148"/>
  <c r="AL366"/>
  <c r="AM366"/>
  <c r="AM374"/>
  <c r="AL374"/>
  <c r="AL365"/>
  <c r="AM365"/>
  <c r="AJ75"/>
  <c r="AK75"/>
  <c r="AJ38"/>
  <c r="AK38"/>
  <c r="AK34"/>
  <c r="AJ34"/>
  <c r="AJ73"/>
  <c r="AK73"/>
  <c r="AL28"/>
  <c r="AM49"/>
  <c r="AL49"/>
  <c r="H212"/>
  <c r="AJ51"/>
  <c r="H164"/>
  <c r="H289"/>
  <c r="H274" s="1"/>
  <c r="AM52"/>
  <c r="AL52"/>
  <c r="AL47"/>
  <c r="AL60"/>
  <c r="AM34"/>
  <c r="AL34"/>
  <c r="AL30"/>
  <c r="AL46"/>
  <c r="AM45"/>
  <c r="AL45"/>
  <c r="AL39"/>
  <c r="AL53"/>
  <c r="AL61"/>
  <c r="AL78"/>
  <c r="AJ10"/>
  <c r="AL11"/>
  <c r="AK137"/>
  <c r="AL140"/>
  <c r="AJ63"/>
  <c r="AK71"/>
  <c r="AK8"/>
  <c r="AM9"/>
  <c r="AM13"/>
  <c r="AK12"/>
  <c r="AH14"/>
  <c r="AH16" s="1"/>
  <c r="AM58"/>
  <c r="AK58"/>
  <c r="AM145"/>
  <c r="AK145"/>
  <c r="AM47"/>
  <c r="AK47"/>
  <c r="AM144"/>
  <c r="AK144"/>
  <c r="D33" a="1"/>
  <c r="D33" s="1"/>
  <c r="D27" a="1"/>
  <c r="D27" s="1"/>
  <c r="C31" a="1"/>
  <c r="C31" s="1"/>
  <c r="C62" a="1"/>
  <c r="C62" s="1"/>
  <c r="AM21"/>
  <c r="AK21"/>
  <c r="B54" a="1"/>
  <c r="B54" s="1"/>
  <c r="G79" a="1"/>
  <c r="G79" s="1"/>
  <c r="D37" a="1"/>
  <c r="D37" s="1"/>
  <c r="AK139"/>
  <c r="AM139"/>
  <c r="D22" a="1"/>
  <c r="D22" s="1"/>
  <c r="AM46"/>
  <c r="AK46"/>
  <c r="B67" a="1"/>
  <c r="B67" s="1"/>
  <c r="B39" a="1"/>
  <c r="B39" s="1"/>
  <c r="D76" a="1"/>
  <c r="D76" s="1"/>
  <c r="B46" a="1"/>
  <c r="B46" s="1"/>
  <c r="D78" a="1"/>
  <c r="D78" s="1"/>
  <c r="AM33"/>
  <c r="AK33"/>
  <c r="D51" a="1"/>
  <c r="D51" s="1"/>
  <c r="B30" a="1"/>
  <c r="B30" s="1"/>
  <c r="B37" a="1"/>
  <c r="B37" s="1"/>
  <c r="B40" a="1"/>
  <c r="B40" s="1"/>
  <c r="AM70"/>
  <c r="AK70"/>
  <c r="AM37"/>
  <c r="AK37"/>
  <c r="D80" a="1"/>
  <c r="D80" s="1"/>
  <c r="C78" a="1"/>
  <c r="C78" s="1"/>
  <c r="D48" a="1"/>
  <c r="D48" s="1"/>
  <c r="B56" a="1"/>
  <c r="B56" s="1"/>
  <c r="B78" a="1"/>
  <c r="B78" s="1"/>
  <c r="C50" a="1"/>
  <c r="C50" s="1"/>
  <c r="AM27"/>
  <c r="AK27"/>
  <c r="D23" a="1"/>
  <c r="D23" s="1"/>
  <c r="D43" a="1"/>
  <c r="D43" s="1"/>
  <c r="C23" a="1"/>
  <c r="C23" s="1"/>
  <c r="G70" a="1"/>
  <c r="G70" s="1"/>
  <c r="G36" a="1"/>
  <c r="G36" s="1"/>
  <c r="D36" a="1"/>
  <c r="D36" s="1"/>
  <c r="B60" a="1"/>
  <c r="B60" s="1"/>
  <c r="D20" a="1"/>
  <c r="D20" s="1"/>
  <c r="B68" a="1"/>
  <c r="B68" s="1"/>
  <c r="B71" a="1"/>
  <c r="B71" s="1"/>
  <c r="B62" a="1"/>
  <c r="B62" s="1"/>
  <c r="D56" a="1"/>
  <c r="D56" s="1"/>
  <c r="D26" a="1"/>
  <c r="D26" s="1"/>
  <c r="C36" a="1"/>
  <c r="C36" s="1"/>
  <c r="D50" a="1"/>
  <c r="D50" s="1"/>
  <c r="D60" a="1"/>
  <c r="D60" s="1"/>
  <c r="D64" a="1"/>
  <c r="D64" s="1"/>
  <c r="AM43"/>
  <c r="AK43"/>
  <c r="C40" a="1"/>
  <c r="C40" s="1"/>
  <c r="B64" a="1"/>
  <c r="B64" s="1"/>
  <c r="B24" a="1"/>
  <c r="B24" s="1"/>
  <c r="D54" a="1"/>
  <c r="D54" s="1"/>
  <c r="AM48"/>
  <c r="AK48"/>
  <c r="B27" a="1"/>
  <c r="B27" s="1"/>
  <c r="AM24"/>
  <c r="AK24"/>
  <c r="B31" a="1"/>
  <c r="B31" s="1"/>
  <c r="D58" a="1"/>
  <c r="D58" s="1"/>
  <c r="B43" a="1"/>
  <c r="B43" s="1"/>
  <c r="D24" a="1"/>
  <c r="D24" s="1"/>
  <c r="G21" a="1"/>
  <c r="G21" s="1"/>
  <c r="C54" a="1"/>
  <c r="C54" s="1"/>
  <c r="B58" a="1"/>
  <c r="B58" s="1"/>
  <c r="B55" a="1"/>
  <c r="B55" s="1"/>
  <c r="AM68"/>
  <c r="AK68"/>
  <c r="C27" a="1"/>
  <c r="C27" s="1"/>
  <c r="AM142"/>
  <c r="AK142"/>
  <c r="AK138"/>
  <c r="AM138"/>
  <c r="B47" a="1"/>
  <c r="B47" s="1"/>
  <c r="B80" a="1"/>
  <c r="B80" s="1"/>
  <c r="B35" a="1"/>
  <c r="B35" s="1"/>
  <c r="D46" a="1"/>
  <c r="D46" s="1"/>
  <c r="D47" a="1"/>
  <c r="D47" s="1"/>
  <c r="B20" a="1"/>
  <c r="B20" s="1"/>
  <c r="D71" a="1"/>
  <c r="D71" s="1"/>
  <c r="C71" a="1"/>
  <c r="C71" s="1"/>
  <c r="C56" a="1"/>
  <c r="C56" s="1"/>
  <c r="C53" a="1"/>
  <c r="C53" s="1"/>
  <c r="D44" a="1"/>
  <c r="D44" s="1"/>
  <c r="AM39"/>
  <c r="AK39"/>
  <c r="B51" a="1"/>
  <c r="B51" s="1"/>
  <c r="B77" a="1"/>
  <c r="B77" s="1"/>
  <c r="C39" a="1"/>
  <c r="C39" s="1"/>
  <c r="AM30"/>
  <c r="AK30"/>
  <c r="D31" a="1"/>
  <c r="D31" s="1"/>
  <c r="AM22"/>
  <c r="AK22"/>
  <c r="B21" a="1"/>
  <c r="B21" s="1"/>
  <c r="D77" a="1"/>
  <c r="D77" s="1"/>
  <c r="C30" a="1"/>
  <c r="C30" s="1"/>
  <c r="G61" a="1"/>
  <c r="G61" s="1"/>
  <c r="B23" a="1"/>
  <c r="B23" s="1"/>
  <c r="C20" a="1"/>
  <c r="C20" s="1"/>
  <c r="G76" a="1"/>
  <c r="G76" s="1"/>
  <c r="G54" a="1"/>
  <c r="G54" s="1"/>
  <c r="B69" a="1"/>
  <c r="B69" s="1"/>
  <c r="AM53"/>
  <c r="AK53"/>
  <c r="B76" a="1"/>
  <c r="B76" s="1"/>
  <c r="AM61"/>
  <c r="AK61"/>
  <c r="D61" a="1"/>
  <c r="D61" s="1"/>
  <c r="AM36"/>
  <c r="AK36"/>
  <c r="C37" a="1"/>
  <c r="C37" s="1"/>
  <c r="C76" a="1"/>
  <c r="C76" s="1"/>
  <c r="C22" a="1"/>
  <c r="C22" s="1"/>
  <c r="AK141"/>
  <c r="AM141"/>
  <c r="C64" a="1"/>
  <c r="C64" s="1"/>
  <c r="B26" a="1"/>
  <c r="B26" s="1"/>
  <c r="D79" a="1"/>
  <c r="D79" s="1"/>
  <c r="D53" a="1"/>
  <c r="D53" s="1"/>
  <c r="D21" a="1"/>
  <c r="D21" s="1"/>
  <c r="B42" a="1"/>
  <c r="B42" s="1"/>
  <c r="C43" a="1"/>
  <c r="C43" s="1"/>
  <c r="AM23"/>
  <c r="AK23"/>
  <c r="B33" a="1"/>
  <c r="B33" s="1"/>
  <c r="D62" a="1"/>
  <c r="D62" s="1"/>
  <c r="C79" a="1"/>
  <c r="C79" s="1"/>
  <c r="C60" a="1"/>
  <c r="C60" s="1"/>
  <c r="D70" a="1"/>
  <c r="D70" s="1"/>
  <c r="AM40"/>
  <c r="AK40"/>
  <c r="C55" a="1"/>
  <c r="C55" s="1"/>
  <c r="AM143"/>
  <c r="AK143"/>
  <c r="AM44"/>
  <c r="AK44"/>
  <c r="C26" a="1"/>
  <c r="C26" s="1"/>
  <c r="AH147"/>
  <c r="C77" a="1"/>
  <c r="C77" s="1"/>
  <c r="G44" a="1"/>
  <c r="G44" s="1"/>
  <c r="AM56"/>
  <c r="AK56"/>
  <c r="B36" a="1"/>
  <c r="B36" s="1"/>
  <c r="C61" a="1"/>
  <c r="C61" s="1"/>
  <c r="C46" a="1"/>
  <c r="C46" s="1"/>
  <c r="B50" a="1"/>
  <c r="B50" s="1"/>
  <c r="AM60"/>
  <c r="AK60"/>
  <c r="C68" a="1"/>
  <c r="C68" s="1"/>
  <c r="AM67"/>
  <c r="AK67"/>
  <c r="C51" a="1"/>
  <c r="C51" s="1"/>
  <c r="C44" a="1"/>
  <c r="C44" s="1"/>
  <c r="D42" a="1"/>
  <c r="D42" s="1"/>
  <c r="C48" a="1"/>
  <c r="C48" s="1"/>
  <c r="AM50"/>
  <c r="AK50"/>
  <c r="C29" a="1"/>
  <c r="C29" s="1"/>
  <c r="C70" a="1"/>
  <c r="C70" s="1"/>
  <c r="C69" a="1"/>
  <c r="C69" s="1"/>
  <c r="B61" a="1"/>
  <c r="B61" s="1"/>
  <c r="AM31"/>
  <c r="AK31"/>
  <c r="D39" a="1"/>
  <c r="D39" s="1"/>
  <c r="D35" a="1"/>
  <c r="D35" s="1"/>
  <c r="D69" a="1"/>
  <c r="D69" s="1"/>
  <c r="B29" a="1"/>
  <c r="B29" s="1"/>
  <c r="C35" a="1"/>
  <c r="C35" s="1"/>
  <c r="C33" a="1"/>
  <c r="C33" s="1"/>
  <c r="B22" a="1"/>
  <c r="B22" s="1"/>
  <c r="AM78"/>
  <c r="AK78"/>
  <c r="C80" a="1"/>
  <c r="C80" s="1"/>
  <c r="AM54"/>
  <c r="AK54"/>
  <c r="D68" a="1"/>
  <c r="D68" s="1"/>
  <c r="D40" a="1"/>
  <c r="D40" s="1"/>
  <c r="C58" a="1"/>
  <c r="C58" s="1"/>
  <c r="C42" a="1"/>
  <c r="C42" s="1"/>
  <c r="G42" a="1"/>
  <c r="G42" s="1"/>
  <c r="AM77"/>
  <c r="AK77"/>
  <c r="D55" a="1"/>
  <c r="D55" s="1"/>
  <c r="B70" a="1"/>
  <c r="B70" s="1"/>
  <c r="AM26"/>
  <c r="AK26"/>
  <c r="C21" a="1"/>
  <c r="C21" s="1"/>
  <c r="AM35"/>
  <c r="AK35"/>
  <c r="B53" a="1"/>
  <c r="B53" s="1"/>
  <c r="D29" a="1"/>
  <c r="D29" s="1"/>
  <c r="G30" a="1"/>
  <c r="G30" s="1"/>
  <c r="D30" a="1"/>
  <c r="D30" s="1"/>
  <c r="AM29"/>
  <c r="AK29"/>
  <c r="G26" a="1"/>
  <c r="G26" s="1"/>
  <c r="C67" a="1"/>
  <c r="C67" s="1"/>
  <c r="C24" a="1"/>
  <c r="C24" s="1"/>
  <c r="B79" a="1"/>
  <c r="B79" s="1"/>
  <c r="AM42"/>
  <c r="AK42"/>
  <c r="C47" a="1"/>
  <c r="C47" s="1"/>
  <c r="B44" a="1"/>
  <c r="B44" s="1"/>
  <c r="D67" a="1"/>
  <c r="D67" s="1"/>
  <c r="B48" a="1"/>
  <c r="B48" s="1"/>
  <c r="AG16"/>
  <c r="AN182" a="1"/>
  <c r="AN182" s="1"/>
  <c r="AN184" a="1"/>
  <c r="AN184" s="1"/>
  <c r="AN178" a="1"/>
  <c r="AN178" s="1"/>
  <c r="AN181" s="1"/>
  <c r="D13" a="1"/>
  <c r="D13" s="1"/>
  <c r="D12" a="1"/>
  <c r="D12" s="1"/>
  <c r="D11" a="1"/>
  <c r="D11" s="1"/>
  <c r="E369"/>
  <c r="D360" a="1"/>
  <c r="D360" s="1"/>
  <c r="B141" a="1"/>
  <c r="B141" s="1"/>
  <c r="G364" a="1"/>
  <c r="G364" s="1"/>
  <c r="D367" a="1"/>
  <c r="D367" s="1"/>
  <c r="D7" a="1"/>
  <c r="D7" s="1"/>
  <c r="D10" a="1"/>
  <c r="D10" s="1"/>
  <c r="D143" a="1"/>
  <c r="D143" s="1"/>
  <c r="C9" a="1"/>
  <c r="C9" s="1"/>
  <c r="B146" a="1"/>
  <c r="B146" s="1"/>
  <c r="C10" a="1"/>
  <c r="C10" s="1"/>
  <c r="C140" a="1"/>
  <c r="C140" s="1"/>
  <c r="G137" a="1"/>
  <c r="G137" s="1"/>
  <c r="G365" a="1"/>
  <c r="G365" s="1"/>
  <c r="C139" a="1"/>
  <c r="C139" s="1"/>
  <c r="G363" a="1"/>
  <c r="G363" s="1"/>
  <c r="D148" a="1"/>
  <c r="D148" s="1"/>
  <c r="DS155" i="2"/>
  <c r="C146" i="3" a="1"/>
  <c r="C146" s="1"/>
  <c r="D363" a="1"/>
  <c r="D363" s="1"/>
  <c r="D366" a="1"/>
  <c r="D366" s="1"/>
  <c r="C137" a="1"/>
  <c r="C137" s="1"/>
  <c r="B13" a="1"/>
  <c r="B13" s="1"/>
  <c r="D365" a="1"/>
  <c r="D365" s="1"/>
  <c r="D146" a="1"/>
  <c r="D146" s="1"/>
  <c r="B12" a="1"/>
  <c r="B12" s="1"/>
  <c r="B139" a="1"/>
  <c r="B139" s="1"/>
  <c r="D5" a="1"/>
  <c r="D5" s="1"/>
  <c r="D6" s="1"/>
  <c r="G362" a="1"/>
  <c r="G362" s="1"/>
  <c r="C5" a="1"/>
  <c r="C5" s="1"/>
  <c r="D359" a="1"/>
  <c r="D359" s="1"/>
  <c r="G139" a="1"/>
  <c r="G139" s="1"/>
  <c r="C148" a="1"/>
  <c r="C148" s="1"/>
  <c r="B10" a="1"/>
  <c r="B10" s="1"/>
  <c r="B140" a="1"/>
  <c r="B140" s="1"/>
  <c r="D9" a="1"/>
  <c r="D9" s="1"/>
  <c r="D361" a="1"/>
  <c r="D361" s="1"/>
  <c r="B138" a="1"/>
  <c r="B138" s="1"/>
  <c r="D141" a="1"/>
  <c r="D141" s="1"/>
  <c r="DT155" i="2"/>
  <c r="C7" i="3" a="1"/>
  <c r="C7" s="1"/>
  <c r="G366" a="1"/>
  <c r="G366" s="1"/>
  <c r="G143" a="1"/>
  <c r="G143" s="1"/>
  <c r="B7" a="1"/>
  <c r="B7" s="1"/>
  <c r="B11" a="1"/>
  <c r="B11" s="1"/>
  <c r="D140" a="1"/>
  <c r="D140" s="1"/>
  <c r="D362" a="1"/>
  <c r="D362" s="1"/>
  <c r="G145" a="1"/>
  <c r="G145" s="1"/>
  <c r="D356" a="1"/>
  <c r="D356" s="1"/>
  <c r="C141" a="1"/>
  <c r="C141" s="1"/>
  <c r="B5" a="1"/>
  <c r="B5" s="1"/>
  <c r="C12" a="1"/>
  <c r="C12" s="1"/>
  <c r="D357" a="1"/>
  <c r="D357" s="1"/>
  <c r="D139" a="1"/>
  <c r="D139" s="1"/>
  <c r="D364" a="1"/>
  <c r="D364" s="1"/>
  <c r="D138" a="1"/>
  <c r="D138" s="1"/>
  <c r="C138" a="1"/>
  <c r="C138" s="1"/>
  <c r="G367" a="1"/>
  <c r="G367" s="1"/>
  <c r="G361" a="1"/>
  <c r="G361" s="1"/>
  <c r="D355" a="1"/>
  <c r="D355" s="1"/>
  <c r="B9" a="1"/>
  <c r="B9" s="1"/>
  <c r="C13" a="1"/>
  <c r="C13" s="1"/>
  <c r="D137" a="1"/>
  <c r="D137" s="1"/>
  <c r="D142" a="1"/>
  <c r="D142" s="1"/>
  <c r="G146" a="1"/>
  <c r="G146" s="1"/>
  <c r="C11" a="1"/>
  <c r="C11" s="1"/>
  <c r="D145" a="1"/>
  <c r="D145" s="1"/>
  <c r="AI155" i="2"/>
  <c r="F9" i="3" s="1" a="1"/>
  <c r="F9" s="1"/>
  <c r="D358" a="1"/>
  <c r="D358" s="1"/>
  <c r="B148" a="1"/>
  <c r="B148" s="1"/>
  <c r="AK368" l="1"/>
  <c r="AJ368"/>
  <c r="AL80"/>
  <c r="AO184" a="1"/>
  <c r="AO184" s="1"/>
  <c r="AO182" a="1"/>
  <c r="AO182" s="1"/>
  <c r="AO177" a="1"/>
  <c r="AO177" s="1"/>
  <c r="AO181" s="1"/>
  <c r="Z109"/>
  <c r="AD109"/>
  <c r="AJ103"/>
  <c r="H191"/>
  <c r="H262" s="1"/>
  <c r="U109"/>
  <c r="AL147"/>
  <c r="AA109"/>
  <c r="H16"/>
  <c r="H177" s="1" a="1"/>
  <c r="H177" s="1"/>
  <c r="AM93"/>
  <c r="W109"/>
  <c r="AL93"/>
  <c r="T109"/>
  <c r="M109"/>
  <c r="K109"/>
  <c r="L109"/>
  <c r="AM103"/>
  <c r="X109"/>
  <c r="AM6"/>
  <c r="AB109"/>
  <c r="AC109"/>
  <c r="H369"/>
  <c r="AM369" s="1"/>
  <c r="S109"/>
  <c r="N109"/>
  <c r="P109"/>
  <c r="O109"/>
  <c r="AJ14"/>
  <c r="AJ16" s="1"/>
  <c r="AE109"/>
  <c r="R109"/>
  <c r="AL14"/>
  <c r="Y109"/>
  <c r="AJ147"/>
  <c r="AJ149" s="1"/>
  <c r="AJ89"/>
  <c r="AK89"/>
  <c r="AM89"/>
  <c r="AH109"/>
  <c r="Q109"/>
  <c r="AM99"/>
  <c r="AG109"/>
  <c r="AK103"/>
  <c r="AK99"/>
  <c r="AJ99"/>
  <c r="H109"/>
  <c r="H113" s="1"/>
  <c r="AK93"/>
  <c r="AJ93"/>
  <c r="V109"/>
  <c r="AF109"/>
  <c r="AL89"/>
  <c r="AJ80"/>
  <c r="H345"/>
  <c r="H174"/>
  <c r="AL368"/>
  <c r="AM368"/>
  <c r="AL378"/>
  <c r="AM378"/>
  <c r="AM14"/>
  <c r="AK14"/>
  <c r="AK16" s="1"/>
  <c r="AK80"/>
  <c r="F22" a="1"/>
  <c r="F22" s="1"/>
  <c r="F70" a="1"/>
  <c r="F70" s="1"/>
  <c r="F24" a="1"/>
  <c r="F24" s="1"/>
  <c r="AK147"/>
  <c r="AK149" s="1"/>
  <c r="F21" a="1"/>
  <c r="F21" s="1"/>
  <c r="F40" a="1"/>
  <c r="F40" s="1"/>
  <c r="F77" a="1"/>
  <c r="F77" s="1"/>
  <c r="F54" a="1"/>
  <c r="F54" s="1"/>
  <c r="F53" a="1"/>
  <c r="F53" s="1"/>
  <c r="F68" a="1"/>
  <c r="F68" s="1"/>
  <c r="F50" a="1"/>
  <c r="F50" s="1"/>
  <c r="F60" a="1"/>
  <c r="F60" s="1"/>
  <c r="F29" a="1"/>
  <c r="F29" s="1"/>
  <c r="F47" a="1"/>
  <c r="F47" s="1"/>
  <c r="F39" a="1"/>
  <c r="F39" s="1"/>
  <c r="F44" a="1"/>
  <c r="F44" s="1"/>
  <c r="F69" a="1"/>
  <c r="F69" s="1"/>
  <c r="F62" a="1"/>
  <c r="F62" s="1"/>
  <c r="F48" a="1"/>
  <c r="F48" s="1"/>
  <c r="F46" a="1"/>
  <c r="F46" s="1"/>
  <c r="F56" a="1"/>
  <c r="F56" s="1"/>
  <c r="F35" a="1"/>
  <c r="F35" s="1"/>
  <c r="F37" a="1"/>
  <c r="F37" s="1"/>
  <c r="F79" a="1"/>
  <c r="F79" s="1"/>
  <c r="F23" a="1"/>
  <c r="F23" s="1"/>
  <c r="F27" a="1"/>
  <c r="F27" s="1"/>
  <c r="F64" a="1"/>
  <c r="F64" s="1"/>
  <c r="F51" a="1"/>
  <c r="F51" s="1"/>
  <c r="F58" a="1"/>
  <c r="F58" s="1"/>
  <c r="F78" a="1"/>
  <c r="F78" s="1"/>
  <c r="F76" a="1"/>
  <c r="F76" s="1"/>
  <c r="F43" a="1"/>
  <c r="F43" s="1"/>
  <c r="F61" a="1"/>
  <c r="F61" s="1"/>
  <c r="F26" a="1"/>
  <c r="F26" s="1"/>
  <c r="F20" a="1"/>
  <c r="F20" s="1"/>
  <c r="F31" a="1"/>
  <c r="F31" s="1"/>
  <c r="AH149"/>
  <c r="AM149" s="1"/>
  <c r="AM147"/>
  <c r="F36" a="1"/>
  <c r="F36" s="1"/>
  <c r="F80" a="1"/>
  <c r="F80" s="1"/>
  <c r="F33" a="1"/>
  <c r="F33" s="1"/>
  <c r="F30" a="1"/>
  <c r="F30" s="1"/>
  <c r="F67" a="1"/>
  <c r="F67" s="1"/>
  <c r="F55" a="1"/>
  <c r="F55" s="1"/>
  <c r="F42" a="1"/>
  <c r="F42" s="1"/>
  <c r="F71" a="1"/>
  <c r="F71" s="1"/>
  <c r="AN185"/>
  <c r="F357" a="1"/>
  <c r="F357" s="1"/>
  <c r="B147"/>
  <c r="B149" s="1"/>
  <c r="F145" a="1"/>
  <c r="F145" s="1"/>
  <c r="F356" a="1"/>
  <c r="F356" s="1"/>
  <c r="D14"/>
  <c r="D16" s="1"/>
  <c r="F5" a="1"/>
  <c r="F5" s="1"/>
  <c r="F6" s="1"/>
  <c r="F367" a="1"/>
  <c r="F367" s="1"/>
  <c r="F366" a="1"/>
  <c r="F366" s="1"/>
  <c r="F358" a="1"/>
  <c r="F358" s="1"/>
  <c r="F138" a="1"/>
  <c r="F138" s="1"/>
  <c r="F11" a="1"/>
  <c r="F11" s="1"/>
  <c r="G127" s="1"/>
  <c r="G129" s="1"/>
  <c r="G131" s="1"/>
  <c r="F148" a="1"/>
  <c r="F148" s="1"/>
  <c r="F146" a="1"/>
  <c r="F146" s="1"/>
  <c r="F12" a="1"/>
  <c r="F12" s="1"/>
  <c r="F139" a="1"/>
  <c r="F139" s="1"/>
  <c r="F142" a="1"/>
  <c r="F142" s="1"/>
  <c r="F10" a="1"/>
  <c r="F10" s="1"/>
  <c r="F362" a="1"/>
  <c r="F362" s="1"/>
  <c r="F359" a="1"/>
  <c r="F359" s="1"/>
  <c r="D147"/>
  <c r="D149" s="1"/>
  <c r="F361" a="1"/>
  <c r="F361" s="1"/>
  <c r="F355" a="1"/>
  <c r="F355" s="1"/>
  <c r="F143" a="1"/>
  <c r="F143" s="1"/>
  <c r="F363" a="1"/>
  <c r="F363" s="1"/>
  <c r="F137" a="1"/>
  <c r="F137" s="1"/>
  <c r="F13" a="1"/>
  <c r="F13" s="1"/>
  <c r="F365" a="1"/>
  <c r="F365" s="1"/>
  <c r="F7" a="1"/>
  <c r="F7" s="1"/>
  <c r="D368"/>
  <c r="F360" a="1"/>
  <c r="F360" s="1"/>
  <c r="C14"/>
  <c r="C16" s="1"/>
  <c r="G147"/>
  <c r="G149" s="1"/>
  <c r="G369" s="1"/>
  <c r="C147"/>
  <c r="C149" s="1"/>
  <c r="F141" a="1"/>
  <c r="F141" s="1"/>
  <c r="F364" a="1"/>
  <c r="F364" s="1"/>
  <c r="B14"/>
  <c r="B16" s="1"/>
  <c r="F140" a="1"/>
  <c r="F140" s="1"/>
  <c r="AL109" l="1"/>
  <c r="AM109"/>
  <c r="AO185"/>
  <c r="H184" a="1"/>
  <c r="H184" s="1"/>
  <c r="H182" a="1"/>
  <c r="H182" s="1"/>
  <c r="AL369"/>
  <c r="AL16"/>
  <c r="H178" a="1"/>
  <c r="H178" s="1"/>
  <c r="H181" s="1"/>
  <c r="AM16"/>
  <c r="AJ109"/>
  <c r="AK109"/>
  <c r="AT345"/>
  <c r="AU345" s="1"/>
  <c r="F14"/>
  <c r="F16" s="1"/>
  <c r="F368"/>
  <c r="D369"/>
  <c r="F147"/>
  <c r="F149" s="1"/>
  <c r="H185" l="1"/>
  <c r="F369"/>
</calcChain>
</file>

<file path=xl/sharedStrings.xml><?xml version="1.0" encoding="utf-8"?>
<sst xmlns="http://schemas.openxmlformats.org/spreadsheetml/2006/main" count="4159" uniqueCount="774">
  <si>
    <t>Infrastructure</t>
  </si>
  <si>
    <t>Waste Management</t>
  </si>
  <si>
    <t>Community</t>
  </si>
  <si>
    <t>Libraries</t>
  </si>
  <si>
    <t>Cemeteries</t>
  </si>
  <si>
    <t>Other assets</t>
  </si>
  <si>
    <t>Refuse</t>
  </si>
  <si>
    <t>Chief Operations Officer</t>
  </si>
  <si>
    <t>Own Funds</t>
  </si>
  <si>
    <t>Directorate of Development Planning</t>
  </si>
  <si>
    <t>Directorate</t>
  </si>
  <si>
    <t>Project Name</t>
  </si>
  <si>
    <t>A5</t>
  </si>
  <si>
    <t>Housing</t>
  </si>
  <si>
    <t>Electricity</t>
  </si>
  <si>
    <t>Swimming Pool</t>
  </si>
  <si>
    <t>DoE(Intergrated National Electrification Programme)</t>
  </si>
  <si>
    <t>Halls</t>
  </si>
  <si>
    <t>Sportsfields</t>
  </si>
  <si>
    <t>Roads</t>
  </si>
  <si>
    <t>New-50</t>
  </si>
  <si>
    <t>New-60</t>
  </si>
  <si>
    <t>KPA'S</t>
  </si>
  <si>
    <t>A9</t>
  </si>
  <si>
    <t>Road Transport</t>
  </si>
  <si>
    <t>34a &amp; 34b</t>
  </si>
  <si>
    <t>New-270</t>
  </si>
  <si>
    <t>New-220</t>
  </si>
  <si>
    <t>Renewal-160</t>
  </si>
  <si>
    <t>Executive and council</t>
  </si>
  <si>
    <t>Corporate services</t>
  </si>
  <si>
    <t>Community and social services</t>
  </si>
  <si>
    <t>Public safety</t>
  </si>
  <si>
    <t>Planning and development</t>
  </si>
  <si>
    <t>Road transport</t>
  </si>
  <si>
    <t>Water</t>
  </si>
  <si>
    <t>Other</t>
  </si>
  <si>
    <t xml:space="preserve">USDG </t>
  </si>
  <si>
    <t>HSDG</t>
  </si>
  <si>
    <t>DIRECTORATE OF HEALTH AND PUBLIC SAFETY</t>
  </si>
  <si>
    <t>DIRECTORATE OF DEVELOPMENT PLANNING</t>
  </si>
  <si>
    <t>Corporate Services</t>
  </si>
  <si>
    <t>Planning and Development</t>
  </si>
  <si>
    <t>Environmental Protection</t>
  </si>
  <si>
    <t>Waste water Management</t>
  </si>
  <si>
    <t>New-30</t>
  </si>
  <si>
    <t>New-250</t>
  </si>
  <si>
    <t>New-120</t>
  </si>
  <si>
    <t>New-150</t>
  </si>
  <si>
    <t>New-170</t>
  </si>
  <si>
    <t>DIRECTORATE OF ENGINEERING SERVICES</t>
  </si>
  <si>
    <t>Electricity reticulation</t>
  </si>
  <si>
    <t>Other Assets</t>
  </si>
  <si>
    <t>Computers</t>
  </si>
  <si>
    <t>Sewerage</t>
  </si>
  <si>
    <t>Vehicles</t>
  </si>
  <si>
    <t>Car Parks,Bus termonals &amp; Taxi ranks</t>
  </si>
  <si>
    <t>Land &amp; Buildings</t>
  </si>
  <si>
    <t>Land &amp; Buildings/ Fire Stations</t>
  </si>
  <si>
    <t>Recreational Facilities</t>
  </si>
  <si>
    <t>TOTAL: EXECUTIVE SUPPORT SERVICES</t>
  </si>
  <si>
    <t>Cost centre name</t>
  </si>
  <si>
    <t>Housing Department</t>
  </si>
  <si>
    <t>Electricity Planning &amp; Design</t>
  </si>
  <si>
    <t>Roads and Stormwater Drainage</t>
  </si>
  <si>
    <t>Transport Planning &amp; Operations Admin</t>
  </si>
  <si>
    <t>Cleansing Administration Support</t>
  </si>
  <si>
    <t>Interments</t>
  </si>
  <si>
    <t>Water Treatment Works</t>
  </si>
  <si>
    <t>KPA2</t>
  </si>
  <si>
    <t>KPA3</t>
  </si>
  <si>
    <t>Service</t>
  </si>
  <si>
    <t>Support Services</t>
  </si>
  <si>
    <t>Waste Water</t>
  </si>
  <si>
    <t>Environmental Services</t>
  </si>
  <si>
    <t>Amenities</t>
  </si>
  <si>
    <t>Health Services</t>
  </si>
  <si>
    <t>Public Safety</t>
  </si>
  <si>
    <t>Renewal-312</t>
  </si>
  <si>
    <t>Asset Sub Class- SA36</t>
  </si>
  <si>
    <t>H.R. Administration</t>
  </si>
  <si>
    <t>Management Information Services</t>
  </si>
  <si>
    <t>Engineering Services</t>
  </si>
  <si>
    <t>Community Services</t>
  </si>
  <si>
    <t>Health and Public Safety</t>
  </si>
  <si>
    <t>Fleet management - Braelyn</t>
  </si>
  <si>
    <t>TOTAL : ENGINEERING SERVICES</t>
  </si>
  <si>
    <t xml:space="preserve">TOTAL : COMMUNITY SERVICES </t>
  </si>
  <si>
    <t>TOTAL : HEALTH AND PUBLIC SAFETY</t>
  </si>
  <si>
    <t>New-312</t>
  </si>
  <si>
    <t>NDPG</t>
  </si>
  <si>
    <t>Ward No.</t>
  </si>
  <si>
    <t>All Wards</t>
  </si>
  <si>
    <t>1,2, 7, 8, 9,10</t>
  </si>
  <si>
    <t>1 to 50</t>
  </si>
  <si>
    <t>13, 21,23</t>
  </si>
  <si>
    <t>17,14,</t>
  </si>
  <si>
    <t>48,12,21,11,17,11,20</t>
  </si>
  <si>
    <t>KPA1</t>
  </si>
  <si>
    <t>KPA5</t>
  </si>
  <si>
    <t>KPA4</t>
  </si>
  <si>
    <t>Financial Services</t>
  </si>
  <si>
    <t>Procurement of Pre-Payment Vending Machines</t>
  </si>
  <si>
    <t>Architecture</t>
  </si>
  <si>
    <t>Land Administration</t>
  </si>
  <si>
    <t>Closed Circuit Television Network - CCTV</t>
  </si>
  <si>
    <t>Land Acquisition</t>
  </si>
  <si>
    <t>Furniture</t>
  </si>
  <si>
    <t>CHIEF OPERATIONS OFFICER</t>
  </si>
  <si>
    <t>DIRECTORATE OF FINANCIAL SERVICES</t>
  </si>
  <si>
    <t>New-80</t>
  </si>
  <si>
    <t>DIRECTORATE OF CORPORATE SERVICES</t>
  </si>
  <si>
    <t>TOTAL : CORPORATE SERVICES</t>
  </si>
  <si>
    <t xml:space="preserve">TOTAL : DEVELOPMENT PLANNING </t>
  </si>
  <si>
    <t>TOTAL : CHIEF OPERATIONS OFFICE</t>
  </si>
  <si>
    <t>DIRECTORATE OF COMMUNITY SERVICES</t>
  </si>
  <si>
    <t>Upgrade KWT Payments Hall</t>
  </si>
  <si>
    <t>KWT Traffic Building</t>
  </si>
  <si>
    <t>Development of Community Parks(Inland, Midlands and Coastal)</t>
  </si>
  <si>
    <t>Electrification of Informal Dwelling Areas within BCMM</t>
  </si>
  <si>
    <t>Construction of Transfer Stations - 3 x Sites</t>
  </si>
  <si>
    <t>Construction and Rehabilitation of Waste Cells</t>
  </si>
  <si>
    <t>E.L.Regional Waste Disposal Site &amp; Transfer Station</t>
  </si>
  <si>
    <t>Redevelopment of Mdantsane NU 2 Swimming Pool and Upgrading of Waterworld</t>
  </si>
  <si>
    <t>ISDG</t>
  </si>
  <si>
    <t>Office Furniture and Equipment and Computers</t>
  </si>
  <si>
    <t>Extensions to Employee Wellness Centre</t>
  </si>
  <si>
    <t>Mdantsane Testing Station - Equipment</t>
  </si>
  <si>
    <t>Fire Arms - Traffic and Law Enforcement</t>
  </si>
  <si>
    <t>New-100</t>
  </si>
  <si>
    <t>Ilitha North 177 Units</t>
  </si>
  <si>
    <t>Tyutyu Phase 3 P1 &amp; P3 Units</t>
  </si>
  <si>
    <t>Westbank Restitution - P1 &amp; P3</t>
  </si>
  <si>
    <t>Block Yard TRA - P1 &amp; P3</t>
  </si>
  <si>
    <t>DVRI Pilot Project (Mekeni, Haven Hills, Competition Site) P1 &amp; P3</t>
  </si>
  <si>
    <t>MUNICIPAL MANAGER'S OFFICE</t>
  </si>
  <si>
    <t>Municipal Manager's Office</t>
  </si>
  <si>
    <t>New-320</t>
  </si>
  <si>
    <t xml:space="preserve">2014/2015 Draft Capital Budget </t>
  </si>
  <si>
    <t xml:space="preserve">2015/2016 Draft Capital Budget </t>
  </si>
  <si>
    <t xml:space="preserve">Neighbourhood Development Partnership </t>
  </si>
  <si>
    <t>Law Enforcement Services</t>
  </si>
  <si>
    <t>1,10</t>
  </si>
  <si>
    <t>Will provide ward no, as soon as land is availed/identified</t>
  </si>
  <si>
    <t>20, 46</t>
  </si>
  <si>
    <t>11, 12, 14, 17, 20, 20, 21, 22, 23, 30, 42,48 50</t>
  </si>
  <si>
    <t xml:space="preserve">24,26,31, 33, 35,36, 37, 38, 39, 40, 41, 49, 44, 43, 45, </t>
  </si>
  <si>
    <t>16, 18,29,35</t>
  </si>
  <si>
    <t>1,3,19,</t>
  </si>
  <si>
    <t>2,7,8,9,11,12</t>
  </si>
  <si>
    <t>10,15,29,28,36,46</t>
  </si>
  <si>
    <t>Reeston Phase 3 Stage 2 -P1 &amp; P3</t>
  </si>
  <si>
    <t>Mdantsane Zone 18 CC Phase 2 - P1 &amp; P3</t>
  </si>
  <si>
    <t>Second Creek (Turn Key) - P1 &amp; P3</t>
  </si>
  <si>
    <t>Sunny South - P1 &amp; P3</t>
  </si>
  <si>
    <t>Potsdam Ikhwezi Block 1 - P1 &amp; P3</t>
  </si>
  <si>
    <t>Potsdam Ikhwezi Block 2 - P1 &amp; P3</t>
  </si>
  <si>
    <t>Potsdam Village- P1 &amp; P3</t>
  </si>
  <si>
    <t>Potsdam North Kanana - P1</t>
  </si>
  <si>
    <t>Reeston Phase 3: Stage 2 - P1 &amp; P3</t>
  </si>
  <si>
    <t>Braelyn ext 10  - P1 &amp; P3</t>
  </si>
  <si>
    <t xml:space="preserve">C Section and Triangular Site - P1 &amp; P3 </t>
  </si>
  <si>
    <t>D Hostel - P1 &amp; P3</t>
  </si>
  <si>
    <t>EXECUTIVE SUPPORT SERVICES</t>
  </si>
  <si>
    <t>Executive Support Services</t>
  </si>
  <si>
    <t>Beneficiary Administration (Procure GPS Devices)</t>
  </si>
  <si>
    <t>Dimbaza Destitute 27 Units - P1 &amp; P3</t>
  </si>
  <si>
    <t>Housing Needs Database and Accreditation (Capacity Enhancement)</t>
  </si>
  <si>
    <t>Amalinda Co- Op</t>
  </si>
  <si>
    <t>Mdantsane Zone CC Phase 2 P1 &amp; P3</t>
  </si>
  <si>
    <t>Cluster 3 (Fynbos Informal 1, Fynbos Informal 2, Ndancama) P1 &amp; P3</t>
  </si>
  <si>
    <t>DVRI</t>
  </si>
  <si>
    <t>HSDG-Special Fund</t>
  </si>
  <si>
    <t>Reeston MPCC - DVRI</t>
  </si>
  <si>
    <t xml:space="preserve">Cluster 1 (Masibambane; Masibulele; Velwano; Ilinge and Dacawa) </t>
  </si>
  <si>
    <t xml:space="preserve">Cluster 2 (Chris Hani 3; Winnie Mandela;  Deluxolo Village; Sisulu Village; Francis Mei; Mahlangu Village, Mathemba Vuso, Gwentshe) </t>
  </si>
  <si>
    <t>IT Infrastructure Network Upgrade</t>
  </si>
  <si>
    <t>Computer Equipment - BCMM</t>
  </si>
  <si>
    <t xml:space="preserve">42,39,13,33,5 </t>
  </si>
  <si>
    <t>42,33,47,36,41,43,37,43,19,3</t>
  </si>
  <si>
    <t>TOTAL: MUNICIPAL MANAGERS 'OFFICE</t>
  </si>
  <si>
    <t>Renewal-40</t>
  </si>
  <si>
    <t>13,28,5,10,16,27,31,32,33,1,2,3,6,10,18,19,47</t>
  </si>
  <si>
    <t>34,37,38,39,40,41,43,44,49,35,11,12,13,14,42,48,50,17,20,23,1-25 &amp; 28,29,30,31, &amp; 33,27,31,33,36,1,2,7,14,17,20,21,22,23,30,2,8,25,34,44,41</t>
  </si>
  <si>
    <t>21,22,23,46,47,28</t>
  </si>
  <si>
    <t>VT</t>
  </si>
  <si>
    <t>05</t>
  </si>
  <si>
    <t>01</t>
  </si>
  <si>
    <t>001</t>
  </si>
  <si>
    <t>02</t>
  </si>
  <si>
    <t>04</t>
  </si>
  <si>
    <t>06</t>
  </si>
  <si>
    <t>07</t>
  </si>
  <si>
    <t>080</t>
  </si>
  <si>
    <t>070</t>
  </si>
  <si>
    <t>040</t>
  </si>
  <si>
    <t>030</t>
  </si>
  <si>
    <t>060</t>
  </si>
  <si>
    <t>050</t>
  </si>
  <si>
    <t>V1</t>
  </si>
  <si>
    <t>Duncan Village Proper</t>
  </si>
  <si>
    <t>Disaster Project</t>
  </si>
  <si>
    <t>Electronic Attandance Control System</t>
  </si>
  <si>
    <t>YTD Expenditure</t>
  </si>
  <si>
    <t>Available Budget</t>
  </si>
  <si>
    <t>Comments</t>
  </si>
  <si>
    <t>% Expenditue</t>
  </si>
  <si>
    <t xml:space="preserve">2013/2014 Approved Budget </t>
  </si>
  <si>
    <t>August Expenditure</t>
  </si>
  <si>
    <t>September Expenditure</t>
  </si>
  <si>
    <t>October Expenditure</t>
  </si>
  <si>
    <t>November Expenditure</t>
  </si>
  <si>
    <t>December Expenditure</t>
  </si>
  <si>
    <t>January Expenditure</t>
  </si>
  <si>
    <t>July  Expenditure</t>
  </si>
  <si>
    <t>February Expenditure</t>
  </si>
  <si>
    <t>March Expenditure</t>
  </si>
  <si>
    <t>April Expenditure</t>
  </si>
  <si>
    <t>May Expenditure</t>
  </si>
  <si>
    <t>June Expenditure</t>
  </si>
  <si>
    <t>Commitments as per Venus</t>
  </si>
  <si>
    <t>New Asset</t>
  </si>
  <si>
    <t>Yes</t>
  </si>
  <si>
    <t>USDG Service</t>
  </si>
  <si>
    <t>C5C</t>
  </si>
  <si>
    <t>2.1 - Office of The Municipal Manager &amp; Support Services</t>
  </si>
  <si>
    <t>3.2 - Office of The Chief Operations Officer</t>
  </si>
  <si>
    <t>3.3 - Housing Department</t>
  </si>
  <si>
    <t>5.6 - Management Information Services</t>
  </si>
  <si>
    <t>5.9 - Labour Relations</t>
  </si>
  <si>
    <t>6.9 - Sewerage Admin</t>
  </si>
  <si>
    <t>6.25 - Water Treatment Works</t>
  </si>
  <si>
    <t>6.36 - Roads and Stormwater Drainage</t>
  </si>
  <si>
    <t>6.43 - Fleet Management - Braelyn</t>
  </si>
  <si>
    <t>6.46 - Electricity Planning &amp; Design</t>
  </si>
  <si>
    <t>7.12 - Architecture</t>
  </si>
  <si>
    <t>7.13 - Land Administration</t>
  </si>
  <si>
    <t>7.30 - Transport Planning &amp; Operations Admin</t>
  </si>
  <si>
    <t>8.1 - Office of The Director of Health &amp; Public Safety</t>
  </si>
  <si>
    <t>8.15 - Traffic Administration</t>
  </si>
  <si>
    <t>9.2 - Cleansing Administration Support</t>
  </si>
  <si>
    <t>9.7 - Interments</t>
  </si>
  <si>
    <t>9.14 - Halls</t>
  </si>
  <si>
    <t>9.16 - Sportsfields</t>
  </si>
  <si>
    <t>9.27 - E.L Regional Waste Disposal Site &amp; Transfer Station</t>
  </si>
  <si>
    <t>Waste Water Management</t>
  </si>
  <si>
    <t>Budget and treasury</t>
  </si>
  <si>
    <t>CHIEF OPERATIONS OFFICE</t>
  </si>
  <si>
    <t>Upgrading of Dimbaza and Zwelitsha Stadium</t>
  </si>
  <si>
    <t>Upgrading of Floodlights at Victoria Grounds, Bhisho Stadium, Ginsberg stadium, Sisa Dukashe Stadium, Alfred Schoeman Stadium, North End Stadium, Jan Smuts Stadium, Amalinda Stadium, and Gompo Stadium</t>
  </si>
  <si>
    <t>Adjustment</t>
  </si>
  <si>
    <t xml:space="preserve">2013/2014 Rollover Adjustment Budget </t>
  </si>
  <si>
    <t>TOTAL : CAPITAL PROJECTS - ALL DIRECTORATES</t>
  </si>
  <si>
    <t>Asset Replacement</t>
  </si>
  <si>
    <t>Sewerage Admin</t>
  </si>
  <si>
    <t>West Bank Restitution - Water</t>
  </si>
  <si>
    <t>Water Admin</t>
  </si>
  <si>
    <t>Quinera Arterial Road</t>
  </si>
  <si>
    <t>Occupational Risk Mnagement</t>
  </si>
  <si>
    <t>002</t>
  </si>
  <si>
    <t>New-260</t>
  </si>
  <si>
    <t>New-360</t>
  </si>
  <si>
    <t>July  Expenditure(VAT inc.)</t>
  </si>
  <si>
    <t>August Expenditure ( VAT inc.)</t>
  </si>
  <si>
    <t>September Expenditure (VAT inc.)</t>
  </si>
  <si>
    <t>October Expenditure (VAT inc.)</t>
  </si>
  <si>
    <t>November Expenditure (VAT inc.)</t>
  </si>
  <si>
    <t>December Expenditure (VAT inc.)</t>
  </si>
  <si>
    <t>January Expenditure (VAT inc.)</t>
  </si>
  <si>
    <t>February Expenditure (VAT inc.)</t>
  </si>
  <si>
    <t>March Expenditure (VAT inc.)</t>
  </si>
  <si>
    <t xml:space="preserve">April Expenditure (VAT inc.) </t>
  </si>
  <si>
    <t>May Expenditure ( VAT inc.)</t>
  </si>
  <si>
    <t>June Expenditure ( VAT inc.)</t>
  </si>
  <si>
    <t>YTD Expenditure ( VAT inc.)</t>
  </si>
  <si>
    <t>Available Budget ( Budget -Expenditure including VAT)</t>
  </si>
  <si>
    <t>% Expenditue including VAT)</t>
  </si>
  <si>
    <t>1st Quarter Expenditure (Exc. VAT)</t>
  </si>
  <si>
    <t>1st Quarter Expenditure (incl. VAT)</t>
  </si>
  <si>
    <t>Development and Upgrading of Cemeteries(Inland, Midland and Coastal)</t>
  </si>
  <si>
    <t>Vat</t>
  </si>
  <si>
    <t>Reeston Phase 3 Stage 3 - P1 &amp; P3</t>
  </si>
  <si>
    <t xml:space="preserve">Commitments (Outstanding invoices for work done not yet paid) </t>
  </si>
  <si>
    <t>Development &amp; Transport Planning</t>
  </si>
  <si>
    <t>Adjustments</t>
  </si>
  <si>
    <t>USDG c/o</t>
  </si>
  <si>
    <t>Construction of Nompumelelo Halls</t>
  </si>
  <si>
    <t>17800 X240 Litre Wheelie Bins</t>
  </si>
  <si>
    <t>Renewal-190</t>
  </si>
  <si>
    <t xml:space="preserve">2016/2017 Draft Capital Budget </t>
  </si>
  <si>
    <t>Amalinda Fairlands Pi &amp; P2</t>
  </si>
  <si>
    <t>Mid-Year Adjustments</t>
  </si>
  <si>
    <t>2013/2014 Mid-Year Adjusted Budget</t>
  </si>
  <si>
    <t>Office Furniture and Equipment (Directorate)</t>
  </si>
  <si>
    <t>M</t>
  </si>
  <si>
    <t>N</t>
  </si>
  <si>
    <t>Funding</t>
  </si>
  <si>
    <t>2013/2014 Capital Budget</t>
  </si>
  <si>
    <t>2013/2014 Approved Budget</t>
  </si>
  <si>
    <t>2013/2014 Rollover Adjustment Budget</t>
  </si>
  <si>
    <t>2013/2014 Conditional Grants Rollover Adjustment Budget</t>
  </si>
  <si>
    <r>
      <t xml:space="preserve">2014/2015 </t>
    </r>
    <r>
      <rPr>
        <b/>
        <u/>
        <sz val="9"/>
        <color indexed="10"/>
        <rFont val="Arial"/>
        <family val="2"/>
      </rPr>
      <t>DoRA</t>
    </r>
  </si>
  <si>
    <t>2015/2016 Capital Budget</t>
  </si>
  <si>
    <t>NT</t>
  </si>
  <si>
    <t xml:space="preserve">Own Funds </t>
  </si>
  <si>
    <t>Own funds</t>
  </si>
  <si>
    <t>Total Own Funding</t>
  </si>
  <si>
    <t>Infrastructure Skills Development Grant</t>
  </si>
  <si>
    <t>Neigbourhood Development Partnership Grant</t>
  </si>
  <si>
    <t xml:space="preserve">Urban Settlement Development Grant </t>
  </si>
  <si>
    <t>Human Settlement Development Grant</t>
  </si>
  <si>
    <t>P</t>
  </si>
  <si>
    <t>Total Grants</t>
  </si>
  <si>
    <t>TOTAL PER FUNDING</t>
  </si>
  <si>
    <t>1. Executive Support Services</t>
  </si>
  <si>
    <t>TOTAL DIRECTORATES</t>
  </si>
  <si>
    <t>GRAND - TOTAL</t>
  </si>
  <si>
    <t>A5 - Schedule</t>
  </si>
  <si>
    <t>Budget Year  2013/14</t>
  </si>
  <si>
    <t>Budget Year  2014/15</t>
  </si>
  <si>
    <t>Capital Expenditure - Standard</t>
  </si>
  <si>
    <t>Governance and administration</t>
  </si>
  <si>
    <t>Budget and treasury office</t>
  </si>
  <si>
    <t>Community and public safety</t>
  </si>
  <si>
    <t>Sport and recreation</t>
  </si>
  <si>
    <t>Health</t>
  </si>
  <si>
    <t>Economic and environmental services</t>
  </si>
  <si>
    <t>Environmental protection</t>
  </si>
  <si>
    <t>Trading services</t>
  </si>
  <si>
    <t>Waste water management</t>
  </si>
  <si>
    <t>Waste management</t>
  </si>
  <si>
    <t>Total Capital Expenditure - Standard</t>
  </si>
  <si>
    <t>Funded by:</t>
  </si>
  <si>
    <t>National Government</t>
  </si>
  <si>
    <t>Provincial Government</t>
  </si>
  <si>
    <t>District Municipality</t>
  </si>
  <si>
    <t>Other transfers and grants</t>
  </si>
  <si>
    <t>Transfers recognised - capital</t>
  </si>
  <si>
    <t>Public contributions &amp; donations</t>
  </si>
  <si>
    <t>Borrowing</t>
  </si>
  <si>
    <t>Internally generated funds</t>
  </si>
  <si>
    <t>Total Capital Funding</t>
  </si>
  <si>
    <t>Heritage assets</t>
  </si>
  <si>
    <t>Investment properties</t>
  </si>
  <si>
    <t>Biological assets</t>
  </si>
  <si>
    <t>Intangibles</t>
  </si>
  <si>
    <t>SA - 34a - Schedule</t>
  </si>
  <si>
    <r>
      <t xml:space="preserve">Capital expenditure on </t>
    </r>
    <r>
      <rPr>
        <b/>
        <u/>
        <sz val="8"/>
        <color indexed="10"/>
        <rFont val="Arial Narrow"/>
        <family val="2"/>
      </rPr>
      <t>NEW</t>
    </r>
    <r>
      <rPr>
        <b/>
        <u/>
        <sz val="8"/>
        <rFont val="Arial Narrow"/>
        <family val="2"/>
      </rPr>
      <t xml:space="preserve"> </t>
    </r>
    <r>
      <rPr>
        <b/>
        <u/>
        <sz val="8"/>
        <color indexed="10"/>
        <rFont val="Arial Narrow"/>
        <family val="2"/>
      </rPr>
      <t>ASSETS</t>
    </r>
    <r>
      <rPr>
        <b/>
        <u/>
        <sz val="8"/>
        <rFont val="Arial Narrow"/>
        <family val="2"/>
      </rPr>
      <t xml:space="preserve"> by Asset Class/Sub-class</t>
    </r>
  </si>
  <si>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</si>
  <si>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</si>
  <si>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</si>
  <si>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</si>
  <si>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</si>
  <si>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</si>
  <si>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</si>
  <si>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</si>
  <si>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</si>
  <si>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</si>
  <si>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</si>
  <si>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</si>
  <si>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</si>
  <si>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</si>
  <si>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</si>
  <si>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</si>
  <si>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</si>
  <si>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Sportsfields &amp; stadia</t>
  </si>
  <si>
    <t>Swimming pools</t>
  </si>
  <si>
    <t>Community halls</t>
  </si>
  <si>
    <t>Recreational facilities</t>
  </si>
  <si>
    <t>Fire, safety &amp; emergency</t>
  </si>
  <si>
    <t>Security and policing</t>
  </si>
  <si>
    <t>Buses</t>
  </si>
  <si>
    <t>Clinics</t>
  </si>
  <si>
    <t>Museums &amp; Art Galleries</t>
  </si>
  <si>
    <t>Social rental housing</t>
  </si>
  <si>
    <t>Buildings</t>
  </si>
  <si>
    <t>Housing development</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</si>
  <si>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</si>
  <si>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</si>
  <si>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</si>
  <si>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</si>
  <si>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</si>
  <si>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</si>
  <si>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</si>
  <si>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</si>
  <si>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</si>
  <si>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</si>
  <si>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</si>
  <si>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Agricultural assets</t>
  </si>
  <si>
    <t>List sub-class</t>
  </si>
  <si>
    <t>Computers - software &amp; programming</t>
  </si>
  <si>
    <t>Other (list sub-class)</t>
  </si>
  <si>
    <t>Total Capital Expenditure on new assets</t>
  </si>
  <si>
    <t>Fire</t>
  </si>
  <si>
    <t>Conservancy</t>
  </si>
  <si>
    <t>Ambulances</t>
  </si>
  <si>
    <t>SA - 34b - Schedule</t>
  </si>
  <si>
    <r>
      <t xml:space="preserve">Capital expenditure on </t>
    </r>
    <r>
      <rPr>
        <b/>
        <u/>
        <sz val="8"/>
        <color indexed="10"/>
        <rFont val="Arial Narrow"/>
        <family val="2"/>
      </rPr>
      <t>RENEWAL OF EXISTING ASSETS</t>
    </r>
    <r>
      <rPr>
        <b/>
        <u/>
        <sz val="8"/>
        <rFont val="Arial Narrow"/>
        <family val="2"/>
      </rPr>
      <t xml:space="preserve"> by Asset Class/Sub-class</t>
    </r>
  </si>
  <si>
    <t>Total Capital Expenditure on renewal of assets</t>
  </si>
  <si>
    <t>Services</t>
  </si>
  <si>
    <t>Other - BCM Fleet</t>
  </si>
  <si>
    <t>Roads and Stormwater</t>
  </si>
  <si>
    <t>Renewal</t>
  </si>
  <si>
    <t>Q</t>
  </si>
  <si>
    <t xml:space="preserve"> KEY OBJECTIVES</t>
  </si>
  <si>
    <t>1.Municipal Transformation and Organisational Development</t>
  </si>
  <si>
    <t>2.Service Delivery and Basic Infrastructure</t>
  </si>
  <si>
    <t>3.Local Economic Development</t>
  </si>
  <si>
    <t>4.Municipal Financial Viability and Management</t>
  </si>
  <si>
    <t>5.Good Governance and public Participation</t>
  </si>
  <si>
    <t>TOTAL</t>
  </si>
  <si>
    <t>2016/2017 Capital Budget</t>
  </si>
  <si>
    <t>2016/2017 Draft Capital Budget</t>
  </si>
  <si>
    <t>Savings</t>
  </si>
  <si>
    <t>Tactic Radio Network</t>
  </si>
  <si>
    <t>Early Warning Systems</t>
  </si>
  <si>
    <t>Road Closure and Events Equipment</t>
  </si>
  <si>
    <t>Traffic Enforcement Equipment</t>
  </si>
  <si>
    <t>Fire Equipment</t>
  </si>
  <si>
    <t>Vehicle Pound</t>
  </si>
  <si>
    <t>Vehicle Test Station Equipment</t>
  </si>
  <si>
    <t xml:space="preserve">Upgrade Vehicle Test Station </t>
  </si>
  <si>
    <t xml:space="preserve">Bulk Sanitation Provision - Programme </t>
  </si>
  <si>
    <t>DoRA</t>
  </si>
  <si>
    <t>AH</t>
  </si>
  <si>
    <t>AI</t>
  </si>
  <si>
    <t>Aj</t>
  </si>
  <si>
    <t>AE</t>
  </si>
  <si>
    <t>AF</t>
  </si>
  <si>
    <t>2015/2016 Draft Capital Budget</t>
  </si>
  <si>
    <t>Diff</t>
  </si>
  <si>
    <t xml:space="preserve">2013/14 Conditional Grants Rollover Adjustment Budget  </t>
  </si>
  <si>
    <t xml:space="preserve"> Funding Source </t>
  </si>
  <si>
    <t>Rehabilitation of Midland Existing Municipal Buildings and Old Mutual Building (Finance)</t>
  </si>
  <si>
    <t xml:space="preserve">2017/2018 Draft Capital Budget </t>
  </si>
  <si>
    <t>R70mill from 15/16</t>
  </si>
  <si>
    <t>Asset Replacements - Insurance</t>
  </si>
  <si>
    <t xml:space="preserve">2018/2019 Draft Capital Budget </t>
  </si>
  <si>
    <t>Cost Centre No.</t>
  </si>
  <si>
    <t>Transport Planning</t>
  </si>
  <si>
    <t>F</t>
  </si>
  <si>
    <t>Waste Management / Refuse</t>
  </si>
  <si>
    <t xml:space="preserve">Bulk Water Provision - Programme </t>
  </si>
  <si>
    <t xml:space="preserve">Urban Roads - Programme </t>
  </si>
  <si>
    <t xml:space="preserve">Upgading of Mdantsane Roads </t>
  </si>
  <si>
    <t xml:space="preserve">Rehabilitation of BCMM Bridges </t>
  </si>
  <si>
    <t xml:space="preserve">INEP Electrification Programme </t>
  </si>
  <si>
    <t>Street Lighting and Highmasts within BCMM Areas of Supply - Informal Settlements</t>
  </si>
  <si>
    <t xml:space="preserve">Bulk Sanitation Provision - Replacing Existing Infrastructure </t>
  </si>
  <si>
    <t>Bulk Water Provision Replacing of Existing Infrastructure</t>
  </si>
  <si>
    <t>Bulk Electricity Infrastructure Upgrade - Replacing Existing Infrastructure</t>
  </si>
  <si>
    <t>Fire Engine</t>
  </si>
  <si>
    <t>2014-2017 DRAFT CAPITAL BUDGET</t>
  </si>
  <si>
    <t>BUFFALO CITY METROPOLITAN MUNICIPALITY</t>
  </si>
  <si>
    <t xml:space="preserve"> 2014/2015 - 2016/2017  CAPITAL BUDGET PER FUNDING SOURCE</t>
  </si>
  <si>
    <t xml:space="preserve"> 2014/2015 - 2016/2017  CAPITAL BUDGET PER DIRECTORATE</t>
  </si>
  <si>
    <t>Reeston Phase 3 Stage 3 P5</t>
  </si>
  <si>
    <t>Reeston Phase 3: Stage 2 - P5</t>
  </si>
  <si>
    <t>Ilitha Eradication of Wooden Houses to Formal Houses</t>
  </si>
  <si>
    <t>Tyutyu Phase 2 - P 5 (Top Structure)</t>
  </si>
  <si>
    <t>HSDG - Opex</t>
  </si>
  <si>
    <t>Ilitha North - 177 Units P5</t>
  </si>
  <si>
    <t>Sunny South -P5</t>
  </si>
  <si>
    <t xml:space="preserve">Cluster 1 (Masibambane; Masibulele; Velwano; Ilinge and Dacawa) P5 </t>
  </si>
  <si>
    <t>Potsdam Village Phase 1 &amp; 2 - P5</t>
  </si>
  <si>
    <t>Cluster 2 (Chris Hani 3; Winnie Mandela;  Deluxolo Village; Sisulu Village; Francis Mei; Mahlangu Village, Mathemba Vuso, Gwentshe) P5 (Name Change)</t>
  </si>
  <si>
    <t>Cluster 3 (Fynbos 1; Fynbos 2; Ndancama, ) P5</t>
  </si>
  <si>
    <t>Housing Needs Database and Accreditation</t>
  </si>
  <si>
    <t>Second Creek - P5</t>
  </si>
  <si>
    <t>Amalinda Co - Op P5</t>
  </si>
  <si>
    <t>Amalinda Fairlands  P5</t>
  </si>
  <si>
    <t>Braelyn Ext 10 North - P5</t>
  </si>
  <si>
    <t>C Section and Triangular Site - P5</t>
  </si>
  <si>
    <t>D Hostel - P5</t>
  </si>
  <si>
    <t>Mdantsane Zone 18CC - P5</t>
  </si>
  <si>
    <t>Potsdam Ikhwezi Block 1 - P5</t>
  </si>
  <si>
    <t>Potsdam Ikhwezi Block 2- P5</t>
  </si>
  <si>
    <t>Potsdam North Kanana - P5</t>
  </si>
  <si>
    <t>Dimbaza 110 -P 5 (Top Structure)</t>
  </si>
  <si>
    <t>Dimbaza Destitute 27 Units  - P5</t>
  </si>
  <si>
    <t>DVRI Pilot Project (Mekeni, Haven Hills, Competition Site) P5</t>
  </si>
  <si>
    <t>DVRI Planning Budget (FROM 8.7MIL)</t>
  </si>
  <si>
    <t>Beneficiary Registration DVRI Projects (Reeston, Cambridge, DVRI Pilot, Braelyn ext 10, C Section and Triangular Site, D Hostel)</t>
  </si>
  <si>
    <t>Beneficiary Registration (Potsdam Unit V, Cluster 3, Orange Groove, Mdantsane Zone CC, Cluster 1, Cluster 2, Peelton Cluster, Hanover, Skobeni, Sunny South, Ilitha North, Dimbaza 110, Dimbaza Phase 3,Potsdam Village; North Kanana, Ikhwezi Block 1 &amp; 2, Amalinda Co-op, Eradication of Wooden Houses to Formal Houses</t>
  </si>
  <si>
    <t>Reconstruction of Storm Damaged Houses</t>
  </si>
  <si>
    <t>Peelton Cluster (Majali, Mdange, Kwatrain, Nkqonqweni, Drayini &amp; Esixekweni) - P5</t>
  </si>
  <si>
    <t>Hanover - P5</t>
  </si>
  <si>
    <t>Skobeni - P5</t>
  </si>
  <si>
    <t>Relocation of beneficiaries to formal houses for all housing  programmes - All Projects</t>
  </si>
  <si>
    <t>MURP Sustainability Plan</t>
  </si>
  <si>
    <t>Beneficiary Education ( All Projects)</t>
  </si>
  <si>
    <t>Dept of LGTH - Opex</t>
  </si>
  <si>
    <t>ICT Networks and Communications for Call Centre</t>
  </si>
  <si>
    <t>IT Hardware for Call Centre</t>
  </si>
  <si>
    <t>IT Infrastructure Servers</t>
  </si>
  <si>
    <t xml:space="preserve"> 2014/2015 - 2016/2017  CAPITAL BUDGET PER SERVICE</t>
  </si>
  <si>
    <t>HSDG-(MPCC)</t>
  </si>
  <si>
    <t>Human Settlement Development Grant-MPCC</t>
  </si>
  <si>
    <t>Director's Office</t>
  </si>
  <si>
    <t>USD</t>
  </si>
  <si>
    <t>OPEX</t>
  </si>
  <si>
    <t>Upgrading of Beaches Facilities</t>
  </si>
  <si>
    <t>Upgrading of Zoo Facilities</t>
  </si>
  <si>
    <t>Upgrading of Phakamisa and Mount Coke sports fields</t>
  </si>
  <si>
    <t>Relocation of Aquarium</t>
  </si>
  <si>
    <t>Sports equipment and structures</t>
  </si>
  <si>
    <t>Refurbishment of Swimming Pools</t>
  </si>
  <si>
    <t>KWT Tanery Site</t>
  </si>
  <si>
    <t xml:space="preserve">Bulk Electricity Infrastructure Upgrade(Ring-Fenced 4% of the Total Electricity Revenue) </t>
  </si>
  <si>
    <t xml:space="preserve">INEP Electrification Programme  - Counterfunding </t>
  </si>
  <si>
    <t>Enabling Infrastructure Programme - LED</t>
  </si>
  <si>
    <t>Building Refurbishments and Upgrading of Lifts for BCMM Buildings</t>
  </si>
  <si>
    <t>Development and Upgrading of Community Halls - War Memorial Hall Upgrade of Parking Area, O.R.Tambo Hall Upgrade of Parking Area, Egoli Community Hall( New Hall), Needs Camp Community Hall Upgrade, Orient Theatre Upgrade, Continuation of KWT Town Hall and NU 5 Hall Mdantsane</t>
  </si>
  <si>
    <t>Public Transport Facilities</t>
  </si>
  <si>
    <t>PTISG</t>
  </si>
  <si>
    <t xml:space="preserve">Replacement of Lift Shoprite Building </t>
  </si>
  <si>
    <t>Projects Deleted from the list</t>
  </si>
  <si>
    <t>Renewal-70</t>
  </si>
  <si>
    <t>Renewal-60</t>
  </si>
  <si>
    <t>Renewal-30</t>
  </si>
  <si>
    <t>Renewal-50</t>
  </si>
  <si>
    <t>Furniture and Equipment - Project Management Office</t>
  </si>
  <si>
    <t>Partitioning of Offices for SCM</t>
  </si>
  <si>
    <t>CCTV Cameras for BCMM Cash Offices</t>
  </si>
  <si>
    <t>Replacement and Refurbishment of Bulk ELECT Infrastructure</t>
  </si>
  <si>
    <t>SCM Inventory Warehousing and Fencing</t>
  </si>
  <si>
    <t>BCMM Fleet, Plant and Specialised Equipment and Specialised Solid Waste Vehicles</t>
  </si>
  <si>
    <t xml:space="preserve">Reeston Phase 3: Stage 2 </t>
  </si>
  <si>
    <t xml:space="preserve">Reeston Phase 3 Stage 3 </t>
  </si>
  <si>
    <t xml:space="preserve">Reeston Phase 3 Stage 2 </t>
  </si>
  <si>
    <t xml:space="preserve">Potsdam Ikhwezi Block 1 </t>
  </si>
  <si>
    <t xml:space="preserve">Potsdam Ikhwezi Block 2 </t>
  </si>
  <si>
    <t xml:space="preserve">Potsdam North Kanana </t>
  </si>
  <si>
    <t xml:space="preserve">Dimbaza Destitute 27 Units </t>
  </si>
  <si>
    <t xml:space="preserve">DVRI Pilot Project (Mekeni, Haven Hills, Competition Site) </t>
  </si>
  <si>
    <t xml:space="preserve">C Section and Triangular Site </t>
  </si>
  <si>
    <t xml:space="preserve">D Hostel </t>
  </si>
  <si>
    <t xml:space="preserve">Mdantsane Zone 18 CC Phase 2 </t>
  </si>
  <si>
    <t xml:space="preserve">Block Yard TRA </t>
  </si>
  <si>
    <t xml:space="preserve">Amalinda Fairlands </t>
  </si>
  <si>
    <t xml:space="preserve">Second Creek (Turn Key) </t>
  </si>
  <si>
    <t xml:space="preserve">Braelyn ext 10  </t>
  </si>
  <si>
    <t xml:space="preserve">Sunny South </t>
  </si>
  <si>
    <t xml:space="preserve">Tyutyu Phase 3 </t>
  </si>
  <si>
    <t xml:space="preserve">Westbank Restitution </t>
  </si>
  <si>
    <t xml:space="preserve">Integrated Transport Plan Implementation Programme </t>
  </si>
  <si>
    <t xml:space="preserve">Oxford Street Mall (Pedestrianisation/Public Transport Zone) </t>
  </si>
  <si>
    <t xml:space="preserve">Northwest Expressway widening and extension to Amalinda Main Road </t>
  </si>
  <si>
    <t xml:space="preserve">Fitzpatrick Road/Currie Street Link Road (Sleeper Site) </t>
  </si>
  <si>
    <t xml:space="preserve">Non-Motorised Transport Facilities Implementation </t>
  </si>
  <si>
    <t xml:space="preserve">Traffic congestion improvements </t>
  </si>
  <si>
    <t xml:space="preserve">Bonza Bay Road LSDF traffic improvements </t>
  </si>
  <si>
    <t xml:space="preserve">Vincent and Berea LSDF traffic improvements </t>
  </si>
  <si>
    <t xml:space="preserve">KWT LSDF traffic improvements </t>
  </si>
  <si>
    <t xml:space="preserve">Mdantsane LSDF traffic improvements </t>
  </si>
  <si>
    <t xml:space="preserve">Bhisho LSDF traffic improvements </t>
  </si>
  <si>
    <t>Security Software</t>
  </si>
  <si>
    <t xml:space="preserve">IT Systems Intergration - (Process Implementation) </t>
  </si>
  <si>
    <t>Procurement of Graders for Rural Roads</t>
  </si>
  <si>
    <t>Rehabilitation of Rural Roads</t>
  </si>
  <si>
    <t>FEL Zoo - Aquarium</t>
  </si>
  <si>
    <t>Equipment for Jan Smuts Stadium</t>
  </si>
  <si>
    <t>LGTH</t>
  </si>
  <si>
    <t>Upgrade Water Supply in Rural Areas</t>
  </si>
  <si>
    <t>Human Settlements</t>
  </si>
  <si>
    <t>HUMAN SETTLEMENTS</t>
  </si>
  <si>
    <t xml:space="preserve">Local Government, Traditional Affairs and Housing </t>
  </si>
  <si>
    <t>DIRECTORATE OF ECONOMIC DEVELOPMENT</t>
  </si>
  <si>
    <t xml:space="preserve">TOTAL : ECONOMIC DEVELOPMENT </t>
  </si>
  <si>
    <t>2. Municipal Manager's Office</t>
  </si>
  <si>
    <t>3. Human Settlements</t>
  </si>
  <si>
    <t>4. Directorate of Financial Services</t>
  </si>
  <si>
    <t>5. Directorate of Corporate Services</t>
  </si>
  <si>
    <t>6. Directorate of Engineering Services</t>
  </si>
  <si>
    <t>7. Directorate of Development Planning</t>
  </si>
  <si>
    <t xml:space="preserve">8. Directorate of Economic Development </t>
  </si>
  <si>
    <t>9. Directorate of Health &amp; Public Safety</t>
  </si>
  <si>
    <t>10 .Directorate of Community Services</t>
  </si>
  <si>
    <t>Directorate of Economic Development</t>
  </si>
  <si>
    <t>TOTAL : HUMAN SETTLEMENTS</t>
  </si>
  <si>
    <t>TOTAL : FINANCIAL SERVICES</t>
  </si>
  <si>
    <t>27,1,41</t>
  </si>
  <si>
    <t>03</t>
  </si>
  <si>
    <t>4</t>
  </si>
  <si>
    <t>1502</t>
  </si>
  <si>
    <t>36</t>
  </si>
  <si>
    <t>1501</t>
  </si>
  <si>
    <t>67</t>
  </si>
  <si>
    <t>1503</t>
  </si>
  <si>
    <t>July 2014</t>
  </si>
  <si>
    <t>July 2014 (VAT incl)</t>
  </si>
  <si>
    <t>CAPITAL EXPENDITURE REPORT AS AT 31 JULY 2014</t>
  </si>
  <si>
    <t>August 2014</t>
  </si>
  <si>
    <t>August 2014 (VAT incl)</t>
  </si>
  <si>
    <t>September 2014</t>
  </si>
  <si>
    <t>September 2014 (VAT incl)</t>
  </si>
  <si>
    <t>October 2014</t>
  </si>
  <si>
    <t>October 2014 (VAT incl)</t>
  </si>
  <si>
    <t>November 2014</t>
  </si>
  <si>
    <t>November 2014 (VAT incl)</t>
  </si>
  <si>
    <t>December 2014</t>
  </si>
  <si>
    <t>December 2014 (VAT incl)</t>
  </si>
  <si>
    <t xml:space="preserve">2014/2015 Approved Capital Budget </t>
  </si>
  <si>
    <t>January 2015</t>
  </si>
  <si>
    <t>January 2015 (VAT incl)</t>
  </si>
  <si>
    <t>February 2015</t>
  </si>
  <si>
    <t>February 2015 (VAT incl)</t>
  </si>
  <si>
    <t>March 2015</t>
  </si>
  <si>
    <t>March 2015 (VAT incl)</t>
  </si>
  <si>
    <t>April 2015 (VAT incl)</t>
  </si>
  <si>
    <t>April 2015</t>
  </si>
  <si>
    <t>May 2015</t>
  </si>
  <si>
    <t>May 2015 (VAT incl)</t>
  </si>
  <si>
    <t>June 2015</t>
  </si>
  <si>
    <t>June 2015 (VAT incl)</t>
  </si>
  <si>
    <t>YTD Expenditure (VAT incl)</t>
  </si>
  <si>
    <t>2014/2015 Approved Capital Budget</t>
  </si>
  <si>
    <t>ANNEXURE "E"</t>
  </si>
  <si>
    <t>YTD Expenditure (VAT) incl)</t>
  </si>
  <si>
    <t>Variance</t>
  </si>
  <si>
    <t>Variance ( VAT incl)</t>
  </si>
  <si>
    <t>% Expenditure</t>
  </si>
  <si>
    <t>% Expenditure (VAT incl)</t>
  </si>
  <si>
    <t>1.1 - Office of The Director of Executive Support</t>
  </si>
  <si>
    <t>1.11 - Development Co-Operation</t>
  </si>
  <si>
    <t>1.2 - Executive Mayor, Speaker &amp; Mayoral Committee</t>
  </si>
  <si>
    <t>1.8 - City Hall</t>
  </si>
  <si>
    <t xml:space="preserve">4.4 - Asset Risk &amp; Financial Services </t>
  </si>
  <si>
    <t>4.10 - Debtors Management Office</t>
  </si>
  <si>
    <t>4.3 - Budget Office</t>
  </si>
  <si>
    <t>4.7 - Salary Office</t>
  </si>
  <si>
    <t>5.1 - Office of The Director of Corporate Services</t>
  </si>
  <si>
    <t>5.10 - Organisational Development</t>
  </si>
  <si>
    <t>5.7 - H.R. Administration</t>
  </si>
  <si>
    <t>6.20 - Water Administration</t>
  </si>
  <si>
    <t>7.35 - Local Economic Development</t>
  </si>
  <si>
    <t>7.36 - Market</t>
  </si>
  <si>
    <t>8.13 - Fire and Rescue Services</t>
  </si>
  <si>
    <t>8.14 - Security Services</t>
  </si>
  <si>
    <t>8.18 - Vehicle Test Station / Examination</t>
  </si>
  <si>
    <t>8.4 - Health Support</t>
  </si>
  <si>
    <t>9.4 - Environmental Services</t>
  </si>
  <si>
    <t>9.22 - Cleansing Administration Support</t>
  </si>
  <si>
    <t>9.23 - Refuse Removal</t>
  </si>
  <si>
    <t>3.1 - Mdantsane Urban Renewal Unit</t>
  </si>
  <si>
    <t>4.1 - Office of The Director of Finance</t>
  </si>
  <si>
    <t>4.9 - Consolidated Billing &amp; Miscellaneous Revenue Office</t>
  </si>
  <si>
    <t>4.11 - Customer Care Office</t>
  </si>
  <si>
    <t>5.8 - Occupational Risk Management</t>
  </si>
  <si>
    <t>6.1 - Office of The Director of Engineering Services</t>
  </si>
  <si>
    <t>6.34 - Roads Administration</t>
  </si>
  <si>
    <t>7.1 - Office of The Director of Planning &amp; Economic Dev.</t>
  </si>
  <si>
    <t>7.16 - Building Maintenance - Coastal / Central</t>
  </si>
  <si>
    <t>8.16 - Traffic Control</t>
  </si>
  <si>
    <t>9.1 - Office of The Director of Community Services</t>
  </si>
  <si>
    <t>9.20 - Beaches</t>
  </si>
  <si>
    <t>9.19 - Zoo</t>
  </si>
  <si>
    <t>9.18 - Aquarium</t>
  </si>
  <si>
    <t>9.17 - Swimming Pools</t>
  </si>
  <si>
    <t>Office Furniture and Equipment (Solid Waste Management)</t>
  </si>
  <si>
    <t>C5</t>
  </si>
  <si>
    <t>Office Furniture and Equipment (Health)</t>
  </si>
  <si>
    <t>Office Furniture and Equipment (Fire &amp; Rescue Sercices)</t>
  </si>
  <si>
    <t>Office Furniture and Equipment (GM Public Safety)</t>
  </si>
  <si>
    <t>Office Furniture and Equipment (Law Enforcement)</t>
  </si>
  <si>
    <t>Air Monitoring Station</t>
  </si>
  <si>
    <t>Office Furniture and Equipment (Disaster Management)</t>
  </si>
  <si>
    <t>Office Furniture and Equipment (Traffic Services)</t>
  </si>
  <si>
    <t>Office of the Director of Health &amp; Public Safety</t>
  </si>
  <si>
    <t>Health Administration</t>
  </si>
  <si>
    <t>Public Safety Administration</t>
  </si>
  <si>
    <t>Fire &amp; Rescue Services</t>
  </si>
  <si>
    <t>Traffic Administration</t>
  </si>
  <si>
    <t>Traffic Control</t>
  </si>
  <si>
    <t>Environmental Health</t>
  </si>
  <si>
    <t>Disaster Management</t>
  </si>
  <si>
    <t>Vehicle Test Station / Examination</t>
  </si>
  <si>
    <t>Environmental Administration Support</t>
  </si>
  <si>
    <t>Beaches</t>
  </si>
  <si>
    <t>Zoo</t>
  </si>
  <si>
    <t>Aquarium</t>
  </si>
  <si>
    <t>Swimming Pools</t>
  </si>
  <si>
    <t>8.3 - Health Administration</t>
  </si>
  <si>
    <t>8.23 - Disaster Management</t>
  </si>
  <si>
    <t>8.12 - Public Safety Administration</t>
  </si>
  <si>
    <t>Planning stages for upgrading of roads and fencing</t>
  </si>
  <si>
    <t>Awaiting cancellation letter in order to submit document to BEC to appoint PSP.</t>
  </si>
  <si>
    <t xml:space="preserve">Informal Tenders in process </t>
  </si>
  <si>
    <t>informal tenders closing on the 9th of September 2014</t>
  </si>
  <si>
    <t xml:space="preserve">Requisitions are being finalized
</t>
  </si>
  <si>
    <t xml:space="preserve">NU2 Pool tender will be advertised on the 08/08/14, and Waterworld tender on the 12/08/14
</t>
  </si>
  <si>
    <t>Electricity have appointed the annual contractor to assess the various stadiums, and the refurbishments will follow</t>
  </si>
  <si>
    <t>Specifications are being finalized with EPMO</t>
  </si>
  <si>
    <t>An informal tender for the appointment of a PSP to manage the remedial work will be advertised.</t>
  </si>
  <si>
    <t>Requisitions and informal tenders are being finalized</t>
  </si>
  <si>
    <t>Specification has been submitted</t>
  </si>
  <si>
    <t>Department is still busy with specification</t>
  </si>
  <si>
    <t>Procurement Stage</t>
  </si>
  <si>
    <t>Pre-planning stage.</t>
  </si>
  <si>
    <t>Contractors are no site and are progressing very well, payment certificate has been submitted and in progress.</t>
  </si>
  <si>
    <t>The Contractor for both internal services and top structures is on site, progressing very well.  To date 131 sites have been completed, and .  Contractor is  busy with  top structure at various stages</t>
  </si>
  <si>
    <t>Consultant  for design and project management team has been appointed and is progressing with the scope of work.</t>
  </si>
  <si>
    <t>Consultant  for design and project management team has been appointed, and has commenced working.</t>
  </si>
  <si>
    <t>The project is still on hold but there are indication that this project will continue soon.</t>
  </si>
  <si>
    <t>Project will be advertised this financial year once  service departments approved the designs</t>
  </si>
  <si>
    <t>Consultant finalising designs for competition site.</t>
  </si>
  <si>
    <t xml:space="preserve">The project is within the implementation agent's scope (ASLA).  The Implementing Agent is finalising the project implementation plan.  </t>
  </si>
  <si>
    <t xml:space="preserve">The project is within the implementation agent's scope (ASLA).  The Implementing Agent is finalising the project implementation plan. </t>
  </si>
  <si>
    <t>Project on completion stage.</t>
  </si>
  <si>
    <t>Project on design stage.</t>
  </si>
  <si>
    <t>Planning stage.</t>
  </si>
  <si>
    <t>Contractor is on site progressing with installation of internal services and construction of top structures.</t>
  </si>
  <si>
    <t>Contractor appointed for both internal services and top structures, the department is finalizing the contractual agreements.</t>
  </si>
  <si>
    <t xml:space="preserve">Contractor appointed for the  construction of both internal services and top structures, currently busy with the contractual obligation submissions. </t>
  </si>
  <si>
    <t>The project on pre-planning stage for the finalisation of township establishment.</t>
  </si>
  <si>
    <t>Contractor is on site constructing roads. Water and VIP ,the project will be completed end of December.</t>
  </si>
  <si>
    <t>Project still on bulk implementation stage.</t>
  </si>
  <si>
    <t>Busy with specifications in order to resume with the procurement processes.</t>
  </si>
  <si>
    <t>This is to be used to replace assets iro insurance claims.</t>
  </si>
  <si>
    <t>Procurement of vehicles and office furniture are underway</t>
  </si>
  <si>
    <t>Procurement process underway</t>
  </si>
  <si>
    <t>Expenditure is expected to show end of september.</t>
  </si>
  <si>
    <t>In the tender process, expenditure is expected  in November / December 2014. CE 183</t>
  </si>
  <si>
    <t>In the tender process, expenditure is expected  in November / December 2014. CE 188</t>
  </si>
  <si>
    <t>In the tender process, expenditure is expected  in November / December 2014. CE 187</t>
  </si>
  <si>
    <t>In the tender process, expenditure is expected  in December 2014 / January 2015. CE 186</t>
  </si>
  <si>
    <t>In the tender process, expenditure is expected  in November / December 2014. CE 185</t>
  </si>
  <si>
    <t>SCM is assisting in preparing specifications</t>
  </si>
  <si>
    <t>Projects on going.</t>
  </si>
  <si>
    <t>Eastern Beach Sewers contract currently within the procurement process</t>
  </si>
  <si>
    <t xml:space="preserve">PSP for the design of Kei Road Treatment plant is finalising Preliminary report.                                                                                                                                                                                                                                       Relocation of Midblock mains in Dimbaza is progressing with Phase 3.                                                                                                                                                                                                                                                     PSP for the Design&amp; Implementation of Amahleke Water regional storage has been appointed.                                                                                                                                                                                                 Tenders for Bulk water supply to coastal areas are at procurement stage and Water supply to Komashini is progressing well.                                                                                                                                       Contractors for the upgrading of BRPS manifolds in underway and the upgrading of UWTW is underway                                                                                                                                                                                                                                                                            </t>
  </si>
  <si>
    <t>Replacement of old water mains, water meters and installation of zonal meters is underway in Coastal, Midlands &amp; Inland</t>
  </si>
  <si>
    <t>Project still on BAC Stage</t>
  </si>
  <si>
    <t xml:space="preserve">Budget re allocated to adress short fall </t>
  </si>
  <si>
    <t>Project  on going</t>
  </si>
  <si>
    <t>Request for procurement done</t>
  </si>
  <si>
    <t>Requesitions done, works anticipated to commence in August</t>
  </si>
  <si>
    <t>Electrical projects identified / design / planning stage - long delivery items; orders submitted to SCM expected delivery 3 Nov 14  - switchboard panels to be ordered; waiting for details</t>
  </si>
  <si>
    <t>Electrical projects identified / design / planning stage - long delivery items; orders submitted to SCM expected delivery 3 Nov 14  - RMU request submitted waiting for quotation</t>
  </si>
  <si>
    <t>Completion of ED329 &amp; ED373 Queenspark Projects / Installation of Queenspark Cable / Electrification Duncan Village, Second Creek, Infills BCMM area</t>
  </si>
  <si>
    <t>ED383 MV LV Reticulation Potsdam Unit P - Tenders to be invited</t>
  </si>
  <si>
    <t xml:space="preserve">Electrification projects Duncan Village / Mdantsane Zone 1 &amp; 3 / Phakamisa identified </t>
  </si>
  <si>
    <t>Major projects identified Breidbach / Gonubie Main Rd / ED384 Suppy &amp; Del Highmast Lighting BCMM - Tenders to be invited</t>
  </si>
  <si>
    <t>As per DES - funds to be transferred to Roads Dept - next Adjustment Budget</t>
  </si>
  <si>
    <t>Informal tenders for the project will be rolled out in August/ September 2014.</t>
  </si>
  <si>
    <t>The department is in the process of procuring furniture</t>
  </si>
  <si>
    <t>Bid Specification documents submitted to BSC for the meeting of 15 August 2014</t>
  </si>
  <si>
    <t>The department is preparing a memo for the approval of the City Manager on the change of utilization of funds</t>
  </si>
  <si>
    <t>Requisition being prepared to submit to SCM for procurement of office chairs &amp; equipment.</t>
  </si>
  <si>
    <t>Informal tender being prepared to submit to SCM for procurement of office furniture &amp; equipment.</t>
  </si>
  <si>
    <t>Requisition being prepared to submit to SCM for procurement of office furniture &amp; equipment.</t>
  </si>
  <si>
    <t>Tender closed on 22 July 2014 and prelimary report for BEC completed and submitted to SCM.</t>
  </si>
  <si>
    <t>Specifications currently being finalised for submission to BSC on Friday 15 August 2014.</t>
  </si>
  <si>
    <t>Informal tender being prepared to submit to SCM for procurement of fire arms.</t>
  </si>
  <si>
    <t>Requisition being prepared to submit to SCM for procurement of office furniture &amp; equipment</t>
  </si>
  <si>
    <t>Informal tender being prepared to submit to SCM for procurement of office furniture &amp; equipment</t>
  </si>
  <si>
    <t>Service provider being professional planning team has been appointed and letter signed. Meeting with client &amp; service provider to take place 2nd week in August to discuss requirements of client.</t>
  </si>
  <si>
    <t>Computer requirements submitted to IT for procurement of computer equipment for MLLC.</t>
  </si>
  <si>
    <t>Tender for office furniture and equipment is at evaluation stage and it is expected that the award will be made by end of August 2014.</t>
  </si>
  <si>
    <t>Procure of computers is underway, the expenditure is expected to show by end of September 2014.</t>
  </si>
  <si>
    <t>Tender was advertise on the 08 August 2014 and is closing at 09 September 2014. It isexpected that the procurement of services will be finalised by 30 September 2014. The work will start at 01 October 2014 and the expenditure will reflect at the end of October 2014.</t>
  </si>
  <si>
    <t>Please note that ths project is not handled by Counter Services but under Law Enforcement.</t>
  </si>
  <si>
    <t>Requirements from the different departments are currently being consolidated and prioritized.</t>
  </si>
  <si>
    <t>No Progress reported.</t>
  </si>
  <si>
    <t>Traffic calming programme has commenced. Invoices to the value of R165000 have been sent to SCM. Sidewalks programme will commence once quotes are finalised. Traffic Signal programme has commenced and expenditure is reflected. Needs Camp / Potsdam Bridge progressing through detailed designs stage. KwaTshatshu Bridge awarded 1 August 2014</t>
  </si>
  <si>
    <t>BAC of 18 July 2014 resolved to appoint BNI/CBI Consortium, as proffessional consultants  to undertake this project (BAC 147/14).</t>
  </si>
  <si>
    <t>Tender of R317.500.00 for Supply and Delivery of 50 Loudhailers for Ward Councillors has been awarded.</t>
  </si>
  <si>
    <t>Contractor for installation of internal services has been appointed, the department is finalizing the contract agreement.</t>
  </si>
  <si>
    <t>Specifications will be submitted to the Bid Committee for play park equipment</t>
  </si>
  <si>
    <t>DIRECTORATE OF HUMAN SETTLEMENTS</t>
  </si>
  <si>
    <t>DIRECTORATE OF EXECUTIVE SUPPORT SERVICES</t>
  </si>
  <si>
    <t>MUNICIPAL MANAGERS 'OFFICE</t>
  </si>
  <si>
    <t>The department will be procuring furniture as per requests during the year.</t>
  </si>
  <si>
    <t>Obtaining quotations for road refurbishment from Annual Contractors lengthy. NDPG department at NT will review quotations and provide BCMM confirmation and permission to proceedto implement grant funding.</t>
  </si>
</sst>
</file>

<file path=xl/styles.xml><?xml version="1.0" encoding="utf-8"?>
<styleSheet xmlns="http://schemas.openxmlformats.org/spreadsheetml/2006/main">
  <numFmts count="7">
    <numFmt numFmtId="43" formatCode="_(* #,##0.00_);_(* \(#,##0.00\);_(* &quot;-&quot;??_);_(@_)"/>
    <numFmt numFmtId="164" formatCode="_ * #,##0.00_ ;_ * \-#,##0.00_ ;_ * &quot;-&quot;??_ ;_ @_ "/>
    <numFmt numFmtId="165" formatCode="_(* #,##0,_);_(* \(#,##0,\);_(* &quot;–&quot;?_);_(@_)"/>
    <numFmt numFmtId="166" formatCode="&quot;R&quot;\ #,##0.00"/>
    <numFmt numFmtId="167" formatCode="###0"/>
    <numFmt numFmtId="168" formatCode="#,##0_ ;\-#,##0\ "/>
    <numFmt numFmtId="169" formatCode="_ * #,##0_ ;_ * \-#,##0_ ;_ * &quot;-&quot;??_ ;_ @_ "/>
  </numFmts>
  <fonts count="62">
    <font>
      <sz val="10"/>
      <name val="Arial"/>
    </font>
    <font>
      <sz val="10"/>
      <name val="Arial"/>
      <family val="2"/>
    </font>
    <font>
      <sz val="10"/>
      <name val="Arial"/>
      <family val="2"/>
    </font>
    <font>
      <sz val="8"/>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MS Sans Serif"/>
      <family val="2"/>
    </font>
    <font>
      <sz val="11"/>
      <name val="Tahoma"/>
      <family val="2"/>
    </font>
    <font>
      <u/>
      <sz val="10"/>
      <color indexed="12"/>
      <name val="Arial"/>
      <family val="2"/>
    </font>
    <font>
      <b/>
      <u/>
      <sz val="12"/>
      <name val="Arial"/>
      <family val="2"/>
    </font>
    <font>
      <sz val="12"/>
      <name val="Arial"/>
      <family val="2"/>
    </font>
    <font>
      <b/>
      <sz val="12"/>
      <name val="Arial"/>
      <family val="2"/>
    </font>
    <font>
      <b/>
      <u/>
      <sz val="14"/>
      <name val="Arial"/>
      <family val="2"/>
    </font>
    <font>
      <sz val="14"/>
      <name val="Arial"/>
      <family val="2"/>
    </font>
    <font>
      <sz val="9"/>
      <name val="Arial"/>
      <family val="2"/>
    </font>
    <font>
      <b/>
      <u/>
      <sz val="10"/>
      <name val="Arial"/>
      <family val="2"/>
    </font>
    <font>
      <b/>
      <u/>
      <sz val="9"/>
      <color indexed="10"/>
      <name val="Arial"/>
      <family val="2"/>
    </font>
    <font>
      <b/>
      <sz val="10"/>
      <name val="Arial"/>
      <family val="2"/>
    </font>
    <font>
      <b/>
      <sz val="9"/>
      <name val="Arial"/>
      <family val="2"/>
    </font>
    <font>
      <b/>
      <sz val="10"/>
      <color indexed="10"/>
      <name val="Arial"/>
      <family val="2"/>
    </font>
    <font>
      <b/>
      <sz val="8"/>
      <name val="Arial"/>
      <family val="2"/>
    </font>
    <font>
      <b/>
      <sz val="8"/>
      <name val="Arial Narrow"/>
      <family val="2"/>
    </font>
    <font>
      <sz val="8"/>
      <name val="Arial Narrow"/>
      <family val="2"/>
    </font>
    <font>
      <b/>
      <u/>
      <sz val="8"/>
      <name val="Arial Narrow"/>
      <family val="2"/>
    </font>
    <font>
      <b/>
      <sz val="8"/>
      <color indexed="10"/>
      <name val="Arial"/>
      <family val="2"/>
    </font>
    <font>
      <b/>
      <u/>
      <sz val="8"/>
      <color indexed="10"/>
      <name val="Arial Narrow"/>
      <family val="2"/>
    </font>
    <font>
      <b/>
      <sz val="10"/>
      <color indexed="9"/>
      <name val="Arial"/>
      <family val="2"/>
    </font>
    <font>
      <sz val="10"/>
      <color indexed="9"/>
      <name val="Arial"/>
      <family val="2"/>
    </font>
    <font>
      <b/>
      <sz val="9"/>
      <color indexed="9"/>
      <name val="Arial"/>
      <family val="2"/>
    </font>
    <font>
      <u/>
      <sz val="12"/>
      <name val="Arial"/>
      <family val="2"/>
    </font>
    <font>
      <sz val="11"/>
      <color theme="1"/>
      <name val="Calibri"/>
      <family val="2"/>
      <scheme val="minor"/>
    </font>
    <font>
      <sz val="12"/>
      <color rgb="FFFF0000"/>
      <name val="Arial"/>
      <family val="2"/>
    </font>
    <font>
      <b/>
      <sz val="12"/>
      <color rgb="FFFF0000"/>
      <name val="Arial"/>
      <family val="2"/>
    </font>
    <font>
      <b/>
      <sz val="10"/>
      <color theme="0"/>
      <name val="Arial"/>
      <family val="2"/>
    </font>
    <font>
      <b/>
      <u/>
      <sz val="10"/>
      <color theme="0"/>
      <name val="Arial"/>
      <family val="2"/>
    </font>
    <font>
      <b/>
      <u/>
      <sz val="9"/>
      <color theme="0"/>
      <name val="Arial"/>
      <family val="2"/>
    </font>
    <font>
      <b/>
      <u/>
      <sz val="9"/>
      <color rgb="FFFF0000"/>
      <name val="Arial"/>
      <family val="2"/>
    </font>
    <font>
      <sz val="9"/>
      <color rgb="FFFF0000"/>
      <name val="Arial"/>
      <family val="2"/>
    </font>
    <font>
      <b/>
      <sz val="9"/>
      <color rgb="FFFF0000"/>
      <name val="Arial"/>
      <family val="2"/>
    </font>
    <font>
      <b/>
      <u/>
      <sz val="12"/>
      <color theme="0"/>
      <name val="Arial"/>
      <family val="2"/>
    </font>
    <font>
      <u/>
      <sz val="12"/>
      <color theme="0"/>
      <name val="Arial"/>
      <family val="2"/>
    </font>
    <font>
      <b/>
      <sz val="12"/>
      <color theme="0"/>
      <name val="Arial"/>
      <family val="2"/>
    </font>
    <font>
      <sz val="12"/>
      <color theme="0"/>
      <name val="Arial"/>
      <family val="2"/>
    </font>
    <font>
      <b/>
      <sz val="10"/>
      <color rgb="FFFF000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4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rgb="FF92D050"/>
        <bgColor indexed="64"/>
      </patternFill>
    </fill>
    <fill>
      <patternFill patternType="solid">
        <fgColor theme="0" tint="-0.499984740745262"/>
        <bgColor indexed="64"/>
      </patternFill>
    </fill>
    <fill>
      <patternFill patternType="solid">
        <fgColor theme="0"/>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thin">
        <color indexed="8"/>
      </left>
      <right/>
      <top/>
      <bottom/>
      <diagonal/>
    </border>
    <border>
      <left style="thin">
        <color indexed="64"/>
      </left>
      <right style="thin">
        <color indexed="64"/>
      </right>
      <top/>
      <bottom style="double">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8"/>
      </top>
      <bottom/>
      <diagonal/>
    </border>
    <border>
      <left/>
      <right/>
      <top style="medium">
        <color indexed="64"/>
      </top>
      <bottom style="medium">
        <color indexed="64"/>
      </bottom>
      <diagonal/>
    </border>
    <border>
      <left/>
      <right style="thin">
        <color indexed="64"/>
      </right>
      <top style="double">
        <color indexed="64"/>
      </top>
      <bottom/>
      <diagonal/>
    </border>
    <border>
      <left/>
      <right style="thin">
        <color indexed="64"/>
      </right>
      <top/>
      <bottom style="thin">
        <color indexed="64"/>
      </bottom>
      <diagonal/>
    </border>
  </borders>
  <cellStyleXfs count="67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5" fillId="0" borderId="0" applyNumberFormat="0" applyFill="0" applyBorder="0" applyAlignment="0" applyProtection="0">
      <alignment vertical="top"/>
      <protection locked="0"/>
    </xf>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3" fillId="0" borderId="0"/>
    <xf numFmtId="0" fontId="23"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3" fillId="0" borderId="0"/>
    <xf numFmtId="0" fontId="23" fillId="0" borderId="0"/>
    <xf numFmtId="0" fontId="1" fillId="0" borderId="0"/>
    <xf numFmtId="0" fontId="23" fillId="0" borderId="0"/>
    <xf numFmtId="0" fontId="23"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1" fillId="0" borderId="0"/>
    <xf numFmtId="0" fontId="1" fillId="0" borderId="0"/>
    <xf numFmtId="0" fontId="47" fillId="0" borderId="0"/>
    <xf numFmtId="0" fontId="47" fillId="0" borderId="0"/>
    <xf numFmtId="0" fontId="47" fillId="0" borderId="0"/>
    <xf numFmtId="0" fontId="1"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23" fillId="0" borderId="0"/>
    <xf numFmtId="0" fontId="23" fillId="0" borderId="0"/>
    <xf numFmtId="0" fontId="1" fillId="0" borderId="0"/>
    <xf numFmtId="0" fontId="23" fillId="0" borderId="0"/>
    <xf numFmtId="0" fontId="23" fillId="0" borderId="0"/>
    <xf numFmtId="0" fontId="1"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4" fillId="0" borderId="0"/>
    <xf numFmtId="0" fontId="24" fillId="0" borderId="0"/>
    <xf numFmtId="0" fontId="1" fillId="0" borderId="0"/>
    <xf numFmtId="0" fontId="2"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 fillId="0" borderId="0"/>
    <xf numFmtId="0" fontId="2" fillId="0" borderId="0"/>
    <xf numFmtId="0" fontId="1" fillId="0" borderId="0"/>
    <xf numFmtId="0" fontId="1" fillId="0" borderId="0"/>
    <xf numFmtId="0" fontId="1" fillId="0" borderId="0"/>
    <xf numFmtId="0" fontId="4"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3" fillId="0" borderId="0"/>
    <xf numFmtId="0" fontId="23" fillId="0" borderId="0"/>
    <xf numFmtId="0" fontId="2" fillId="0" borderId="0"/>
    <xf numFmtId="0" fontId="23" fillId="0" borderId="0"/>
    <xf numFmtId="0" fontId="1" fillId="0" borderId="0"/>
    <xf numFmtId="0" fontId="1" fillId="0" borderId="0"/>
    <xf numFmtId="0" fontId="23" fillId="0" borderId="0"/>
    <xf numFmtId="0" fontId="23" fillId="0" borderId="0"/>
    <xf numFmtId="0" fontId="23" fillId="0" borderId="0"/>
    <xf numFmtId="0" fontId="2" fillId="0" borderId="0"/>
    <xf numFmtId="0" fontId="23" fillId="0" borderId="0"/>
    <xf numFmtId="0" fontId="1" fillId="0" borderId="0"/>
    <xf numFmtId="0" fontId="1" fillId="0" borderId="0"/>
    <xf numFmtId="0" fontId="23" fillId="0" borderId="0"/>
    <xf numFmtId="0" fontId="2"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3"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3" fillId="0" borderId="0"/>
    <xf numFmtId="0" fontId="23" fillId="0" borderId="0"/>
    <xf numFmtId="0" fontId="1" fillId="0" borderId="0"/>
    <xf numFmtId="0" fontId="23" fillId="23" borderId="7" applyNumberFormat="0" applyFont="0" applyAlignment="0" applyProtection="0"/>
    <xf numFmtId="0" fontId="23" fillId="23" borderId="7" applyNumberFormat="0" applyFont="0" applyAlignment="0" applyProtection="0"/>
    <xf numFmtId="0" fontId="1"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9" fontId="61" fillId="0" borderId="0" applyFont="0" applyFill="0" applyBorder="0" applyAlignment="0" applyProtection="0"/>
  </cellStyleXfs>
  <cellXfs count="511">
    <xf numFmtId="0" fontId="0" fillId="0" borderId="0" xfId="0"/>
    <xf numFmtId="0" fontId="27" fillId="0" borderId="0" xfId="0" applyFont="1" applyFill="1" applyAlignment="1">
      <alignment wrapText="1"/>
    </xf>
    <xf numFmtId="0" fontId="26" fillId="0" borderId="10" xfId="0" applyNumberFormat="1" applyFont="1" applyFill="1" applyBorder="1" applyAlignment="1" applyProtection="1">
      <alignment horizontal="left"/>
      <protection locked="0"/>
    </xf>
    <xf numFmtId="0" fontId="27" fillId="0" borderId="11" xfId="0" applyFont="1" applyFill="1" applyBorder="1" applyAlignment="1">
      <alignment horizontal="center" wrapText="1"/>
    </xf>
    <xf numFmtId="0" fontId="27" fillId="0" borderId="12" xfId="0" applyFont="1" applyFill="1" applyBorder="1" applyAlignment="1">
      <alignment horizontal="center" wrapText="1"/>
    </xf>
    <xf numFmtId="3" fontId="27" fillId="0" borderId="11" xfId="0" applyNumberFormat="1" applyFont="1" applyFill="1" applyBorder="1" applyAlignment="1">
      <alignment horizontal="center" wrapText="1"/>
    </xf>
    <xf numFmtId="168" fontId="27" fillId="0" borderId="11" xfId="0" applyNumberFormat="1" applyFont="1" applyFill="1" applyBorder="1" applyAlignment="1">
      <alignment horizontal="center" wrapText="1"/>
    </xf>
    <xf numFmtId="3" fontId="27" fillId="0" borderId="11" xfId="0" applyNumberFormat="1" applyFont="1" applyFill="1" applyBorder="1" applyAlignment="1">
      <alignment horizontal="right" wrapText="1"/>
    </xf>
    <xf numFmtId="0" fontId="27" fillId="0" borderId="11" xfId="0" applyNumberFormat="1" applyFont="1" applyFill="1" applyBorder="1" applyAlignment="1" applyProtection="1">
      <alignment wrapText="1"/>
      <protection locked="0"/>
    </xf>
    <xf numFmtId="0" fontId="27" fillId="0" borderId="13" xfId="0" applyFont="1" applyFill="1" applyBorder="1" applyAlignment="1">
      <alignment wrapText="1"/>
    </xf>
    <xf numFmtId="0" fontId="27" fillId="0" borderId="0" xfId="0" applyFont="1" applyFill="1" applyBorder="1" applyAlignment="1">
      <alignment wrapText="1"/>
    </xf>
    <xf numFmtId="0" fontId="27" fillId="0" borderId="11" xfId="0" quotePrefix="1" applyFont="1" applyFill="1" applyBorder="1" applyAlignment="1">
      <alignment horizontal="center" wrapText="1"/>
    </xf>
    <xf numFmtId="0" fontId="27" fillId="0" borderId="11" xfId="0" applyFont="1" applyFill="1" applyBorder="1" applyAlignment="1">
      <alignment wrapText="1"/>
    </xf>
    <xf numFmtId="1" fontId="27" fillId="0" borderId="13" xfId="0" applyNumberFormat="1" applyFont="1" applyFill="1" applyBorder="1" applyAlignment="1">
      <alignment horizontal="center" wrapText="1"/>
    </xf>
    <xf numFmtId="168" fontId="27" fillId="0" borderId="11" xfId="0" applyNumberFormat="1" applyFont="1" applyFill="1" applyBorder="1" applyAlignment="1">
      <alignment horizontal="right" wrapText="1"/>
    </xf>
    <xf numFmtId="9" fontId="27" fillId="0" borderId="11" xfId="0" applyNumberFormat="1" applyFont="1" applyFill="1" applyBorder="1" applyAlignment="1">
      <alignment horizontal="right" wrapText="1"/>
    </xf>
    <xf numFmtId="0" fontId="27" fillId="0" borderId="14" xfId="0" applyFont="1" applyFill="1" applyBorder="1" applyAlignment="1">
      <alignment horizontal="center" wrapText="1"/>
    </xf>
    <xf numFmtId="0" fontId="27" fillId="0" borderId="15" xfId="0" applyFont="1" applyFill="1" applyBorder="1" applyAlignment="1">
      <alignment horizontal="center" wrapText="1"/>
    </xf>
    <xf numFmtId="0" fontId="28" fillId="0" borderId="14" xfId="0" applyFont="1" applyFill="1" applyBorder="1" applyAlignment="1">
      <alignment wrapText="1"/>
    </xf>
    <xf numFmtId="0" fontId="27" fillId="0" borderId="14" xfId="0" applyFont="1" applyFill="1" applyBorder="1" applyAlignment="1">
      <alignment horizontal="left" wrapText="1"/>
    </xf>
    <xf numFmtId="3" fontId="28" fillId="0" borderId="14" xfId="0" applyNumberFormat="1" applyFont="1" applyFill="1" applyBorder="1" applyAlignment="1">
      <alignment horizontal="right" wrapText="1"/>
    </xf>
    <xf numFmtId="9" fontId="28" fillId="0" borderId="14" xfId="0" applyNumberFormat="1" applyFont="1" applyFill="1" applyBorder="1" applyAlignment="1">
      <alignment horizontal="right" wrapText="1"/>
    </xf>
    <xf numFmtId="0" fontId="26" fillId="0" borderId="11" xfId="0" applyFont="1" applyFill="1" applyBorder="1" applyAlignment="1"/>
    <xf numFmtId="0" fontId="26" fillId="0" borderId="11" xfId="0" applyFont="1" applyFill="1" applyBorder="1" applyAlignment="1">
      <alignment wrapText="1"/>
    </xf>
    <xf numFmtId="0" fontId="27" fillId="0" borderId="12" xfId="0" applyFont="1" applyFill="1" applyBorder="1" applyAlignment="1">
      <alignment wrapText="1"/>
    </xf>
    <xf numFmtId="1" fontId="27" fillId="0" borderId="11" xfId="0" applyNumberFormat="1" applyFont="1" applyFill="1" applyBorder="1" applyAlignment="1">
      <alignment horizontal="center" wrapText="1"/>
    </xf>
    <xf numFmtId="167" fontId="27" fillId="0" borderId="11" xfId="0" applyNumberFormat="1" applyFont="1" applyFill="1" applyBorder="1" applyAlignment="1" applyProtection="1">
      <alignment horizontal="center" wrapText="1"/>
      <protection locked="0"/>
    </xf>
    <xf numFmtId="3" fontId="27" fillId="0" borderId="11" xfId="0" applyNumberFormat="1" applyFont="1" applyFill="1" applyBorder="1" applyAlignment="1">
      <alignment wrapText="1"/>
    </xf>
    <xf numFmtId="0" fontId="27" fillId="0" borderId="14" xfId="0" applyFont="1" applyFill="1" applyBorder="1" applyAlignment="1">
      <alignment wrapText="1"/>
    </xf>
    <xf numFmtId="0" fontId="27" fillId="0" borderId="15" xfId="0" applyFont="1" applyFill="1" applyBorder="1" applyAlignment="1">
      <alignment wrapText="1"/>
    </xf>
    <xf numFmtId="1" fontId="27" fillId="0" borderId="14" xfId="0" applyNumberFormat="1" applyFont="1" applyFill="1" applyBorder="1" applyAlignment="1">
      <alignment horizontal="center" wrapText="1"/>
    </xf>
    <xf numFmtId="3" fontId="28" fillId="0" borderId="14" xfId="28" applyNumberFormat="1" applyFont="1" applyFill="1" applyBorder="1" applyAlignment="1">
      <alignment wrapText="1"/>
    </xf>
    <xf numFmtId="0" fontId="27" fillId="0" borderId="11" xfId="0" applyFont="1" applyFill="1" applyBorder="1" applyAlignment="1"/>
    <xf numFmtId="3" fontId="27" fillId="0" borderId="13" xfId="0" applyNumberFormat="1" applyFont="1" applyFill="1" applyBorder="1" applyAlignment="1">
      <alignment horizontal="right" wrapText="1"/>
    </xf>
    <xf numFmtId="1" fontId="27" fillId="0" borderId="0" xfId="0" applyNumberFormat="1" applyFont="1" applyFill="1" applyBorder="1" applyAlignment="1">
      <alignment horizontal="center" wrapText="1"/>
    </xf>
    <xf numFmtId="0" fontId="27" fillId="0" borderId="12" xfId="0" applyFont="1" applyFill="1" applyBorder="1" applyAlignment="1">
      <alignment horizontal="left" wrapText="1"/>
    </xf>
    <xf numFmtId="3" fontId="27" fillId="0" borderId="13" xfId="0" applyNumberFormat="1" applyFont="1" applyFill="1" applyBorder="1" applyAlignment="1">
      <alignment wrapText="1"/>
    </xf>
    <xf numFmtId="0" fontId="27" fillId="0" borderId="16" xfId="0" applyFont="1" applyFill="1" applyBorder="1" applyAlignment="1">
      <alignment wrapText="1"/>
    </xf>
    <xf numFmtId="0" fontId="27" fillId="0" borderId="17" xfId="0" applyFont="1" applyFill="1" applyBorder="1" applyAlignment="1">
      <alignment wrapText="1"/>
    </xf>
    <xf numFmtId="1" fontId="27" fillId="0" borderId="16" xfId="0" applyNumberFormat="1" applyFont="1" applyFill="1" applyBorder="1" applyAlignment="1">
      <alignment horizontal="center" wrapText="1"/>
    </xf>
    <xf numFmtId="1" fontId="27" fillId="0" borderId="17" xfId="0" applyNumberFormat="1" applyFont="1" applyFill="1" applyBorder="1" applyAlignment="1">
      <alignment horizontal="center" wrapText="1"/>
    </xf>
    <xf numFmtId="0" fontId="28" fillId="0" borderId="15" xfId="0" applyFont="1" applyFill="1" applyBorder="1" applyAlignment="1">
      <alignment wrapText="1"/>
    </xf>
    <xf numFmtId="3" fontId="28" fillId="0" borderId="14" xfId="0" applyNumberFormat="1" applyFont="1" applyFill="1" applyBorder="1" applyAlignment="1">
      <alignment wrapText="1"/>
    </xf>
    <xf numFmtId="0" fontId="26" fillId="0" borderId="12" xfId="0" applyFont="1" applyFill="1" applyBorder="1" applyAlignment="1">
      <alignment wrapText="1"/>
    </xf>
    <xf numFmtId="0" fontId="26" fillId="0" borderId="12" xfId="0" applyFont="1" applyFill="1" applyBorder="1" applyAlignment="1"/>
    <xf numFmtId="0" fontId="28" fillId="0" borderId="11" xfId="0" applyFont="1" applyFill="1" applyBorder="1" applyAlignment="1">
      <alignment horizontal="center" wrapText="1"/>
    </xf>
    <xf numFmtId="0" fontId="28" fillId="0" borderId="13" xfId="0" applyFont="1" applyFill="1" applyBorder="1" applyAlignment="1">
      <alignment wrapText="1"/>
    </xf>
    <xf numFmtId="0" fontId="28" fillId="0" borderId="0" xfId="0" applyFont="1" applyFill="1" applyBorder="1" applyAlignment="1">
      <alignment wrapText="1"/>
    </xf>
    <xf numFmtId="0" fontId="28" fillId="0" borderId="11" xfId="0" applyFont="1" applyFill="1" applyBorder="1" applyAlignment="1">
      <alignment vertical="top" wrapText="1"/>
    </xf>
    <xf numFmtId="1" fontId="27" fillId="0" borderId="13" xfId="0" applyNumberFormat="1" applyFont="1" applyFill="1" applyBorder="1" applyAlignment="1">
      <alignment horizontal="center" vertical="top" wrapText="1"/>
    </xf>
    <xf numFmtId="1" fontId="27" fillId="0" borderId="0" xfId="0" applyNumberFormat="1" applyFont="1" applyFill="1" applyBorder="1" applyAlignment="1">
      <alignment horizontal="center" vertical="top" wrapText="1"/>
    </xf>
    <xf numFmtId="0" fontId="27" fillId="0" borderId="11" xfId="0" applyFont="1" applyFill="1" applyBorder="1" applyAlignment="1">
      <alignment vertical="top" wrapText="1"/>
    </xf>
    <xf numFmtId="3" fontId="27" fillId="0" borderId="11" xfId="0" applyNumberFormat="1" applyFont="1" applyFill="1" applyBorder="1" applyAlignment="1">
      <alignment horizontal="right" vertical="top" wrapText="1"/>
    </xf>
    <xf numFmtId="1" fontId="27" fillId="0" borderId="12" xfId="0" applyNumberFormat="1" applyFont="1" applyFill="1" applyBorder="1" applyAlignment="1">
      <alignment wrapText="1"/>
    </xf>
    <xf numFmtId="3" fontId="28" fillId="0" borderId="11" xfId="0" applyNumberFormat="1" applyFont="1" applyFill="1" applyBorder="1" applyAlignment="1">
      <alignment horizontal="right" wrapText="1"/>
    </xf>
    <xf numFmtId="0" fontId="28" fillId="0" borderId="16" xfId="0" applyFont="1" applyFill="1" applyBorder="1" applyAlignment="1">
      <alignment wrapText="1"/>
    </xf>
    <xf numFmtId="0" fontId="28" fillId="0" borderId="17" xfId="0" applyFont="1" applyFill="1" applyBorder="1" applyAlignment="1">
      <alignment wrapText="1"/>
    </xf>
    <xf numFmtId="0" fontId="28" fillId="0" borderId="14" xfId="0" applyFont="1" applyFill="1" applyBorder="1" applyAlignment="1">
      <alignment horizontal="center" wrapText="1"/>
    </xf>
    <xf numFmtId="0" fontId="28" fillId="0" borderId="18" xfId="0" applyFont="1" applyFill="1" applyBorder="1" applyAlignment="1">
      <alignment vertical="top" wrapText="1"/>
    </xf>
    <xf numFmtId="3" fontId="27" fillId="0" borderId="11" xfId="0" applyNumberFormat="1" applyFont="1" applyFill="1" applyBorder="1" applyAlignment="1">
      <alignment vertical="top" wrapText="1"/>
    </xf>
    <xf numFmtId="3" fontId="27" fillId="0" borderId="12" xfId="0" applyNumberFormat="1" applyFont="1" applyFill="1" applyBorder="1" applyAlignment="1">
      <alignment vertical="top" wrapText="1"/>
    </xf>
    <xf numFmtId="0" fontId="27" fillId="0" borderId="19" xfId="0" applyFont="1" applyFill="1" applyBorder="1" applyAlignment="1">
      <alignment wrapText="1"/>
    </xf>
    <xf numFmtId="3" fontId="27" fillId="0" borderId="12" xfId="0" applyNumberFormat="1" applyFont="1" applyFill="1" applyBorder="1" applyAlignment="1">
      <alignment horizontal="right" wrapText="1"/>
    </xf>
    <xf numFmtId="0" fontId="27" fillId="0" borderId="18" xfId="0" applyFont="1" applyFill="1" applyBorder="1" applyAlignment="1">
      <alignment wrapText="1"/>
    </xf>
    <xf numFmtId="3" fontId="28" fillId="0" borderId="11" xfId="0" applyNumberFormat="1" applyFont="1" applyFill="1" applyBorder="1" applyAlignment="1">
      <alignment wrapText="1"/>
    </xf>
    <xf numFmtId="0" fontId="28" fillId="0" borderId="15" xfId="0" applyFont="1" applyFill="1" applyBorder="1" applyAlignment="1">
      <alignment vertical="top" wrapText="1"/>
    </xf>
    <xf numFmtId="0" fontId="26" fillId="0" borderId="0" xfId="0" applyFont="1" applyFill="1" applyBorder="1" applyAlignment="1">
      <alignment wrapText="1"/>
    </xf>
    <xf numFmtId="0" fontId="26" fillId="0" borderId="11" xfId="0" applyFont="1" applyFill="1" applyBorder="1" applyAlignment="1">
      <alignment horizontal="center" wrapText="1"/>
    </xf>
    <xf numFmtId="0" fontId="28" fillId="0" borderId="0" xfId="0" applyFont="1" applyFill="1" applyBorder="1" applyAlignment="1">
      <alignment vertical="top" wrapText="1"/>
    </xf>
    <xf numFmtId="0" fontId="28" fillId="0" borderId="0" xfId="0" applyFont="1" applyFill="1" applyBorder="1" applyAlignment="1">
      <alignment horizontal="center" vertical="top" wrapText="1"/>
    </xf>
    <xf numFmtId="0" fontId="27" fillId="0" borderId="0" xfId="0" applyFont="1" applyFill="1" applyBorder="1" applyAlignment="1">
      <alignment vertical="top" wrapText="1"/>
    </xf>
    <xf numFmtId="0" fontId="27" fillId="0" borderId="0" xfId="0" applyFont="1" applyFill="1" applyBorder="1" applyAlignment="1">
      <alignment horizontal="left" vertical="top" wrapText="1"/>
    </xf>
    <xf numFmtId="3" fontId="48" fillId="0" borderId="0" xfId="0" applyNumberFormat="1" applyFont="1" applyFill="1" applyBorder="1" applyAlignment="1">
      <alignment vertical="top" wrapText="1"/>
    </xf>
    <xf numFmtId="3" fontId="27" fillId="0" borderId="0" xfId="0" applyNumberFormat="1" applyFont="1" applyFill="1" applyBorder="1" applyAlignment="1">
      <alignment vertical="top" wrapText="1"/>
    </xf>
    <xf numFmtId="3" fontId="48" fillId="26" borderId="0" xfId="0" applyNumberFormat="1" applyFont="1" applyFill="1" applyBorder="1" applyAlignment="1">
      <alignment vertical="top" wrapText="1"/>
    </xf>
    <xf numFmtId="168" fontId="48" fillId="0" borderId="0" xfId="0" applyNumberFormat="1" applyFont="1" applyFill="1" applyBorder="1" applyAlignment="1">
      <alignment vertical="top" wrapText="1"/>
    </xf>
    <xf numFmtId="168" fontId="27" fillId="0" borderId="0" xfId="0" applyNumberFormat="1" applyFont="1" applyFill="1" applyBorder="1" applyAlignment="1">
      <alignment vertical="top" wrapText="1"/>
    </xf>
    <xf numFmtId="3" fontId="27" fillId="0" borderId="0" xfId="0" applyNumberFormat="1" applyFont="1" applyFill="1" applyBorder="1" applyAlignment="1">
      <alignment horizontal="right" vertical="top" wrapText="1"/>
    </xf>
    <xf numFmtId="0" fontId="28" fillId="0" borderId="0" xfId="0" applyFont="1" applyBorder="1" applyAlignment="1">
      <alignment vertical="top" wrapText="1"/>
    </xf>
    <xf numFmtId="0" fontId="28" fillId="0" borderId="0" xfId="0" applyFont="1" applyBorder="1" applyAlignment="1">
      <alignment horizontal="center" vertical="top" wrapText="1"/>
    </xf>
    <xf numFmtId="0" fontId="27" fillId="0" borderId="0" xfId="0" applyFont="1" applyBorder="1" applyAlignment="1">
      <alignment vertical="top" wrapText="1"/>
    </xf>
    <xf numFmtId="1" fontId="27" fillId="0" borderId="0" xfId="0" applyNumberFormat="1" applyFont="1" applyBorder="1" applyAlignment="1">
      <alignment horizontal="center" vertical="top" wrapText="1"/>
    </xf>
    <xf numFmtId="3" fontId="27" fillId="0" borderId="0" xfId="0" applyNumberFormat="1" applyFont="1" applyBorder="1" applyAlignment="1">
      <alignment vertical="top" wrapText="1"/>
    </xf>
    <xf numFmtId="3" fontId="48" fillId="0" borderId="0" xfId="0" applyNumberFormat="1" applyFont="1" applyBorder="1" applyAlignment="1">
      <alignment vertical="top" wrapText="1"/>
    </xf>
    <xf numFmtId="0" fontId="27" fillId="0" borderId="0" xfId="0" applyFont="1" applyBorder="1" applyAlignment="1">
      <alignment wrapText="1"/>
    </xf>
    <xf numFmtId="0" fontId="28" fillId="0" borderId="0" xfId="0" applyFont="1" applyBorder="1" applyAlignment="1">
      <alignment wrapText="1"/>
    </xf>
    <xf numFmtId="0" fontId="27" fillId="0" borderId="0" xfId="0" applyFont="1" applyBorder="1" applyAlignment="1">
      <alignment horizontal="left" vertical="top" wrapText="1"/>
    </xf>
    <xf numFmtId="168" fontId="48" fillId="0" borderId="0" xfId="0" applyNumberFormat="1" applyFont="1" applyBorder="1" applyAlignment="1">
      <alignment vertical="top" wrapText="1"/>
    </xf>
    <xf numFmtId="1" fontId="27" fillId="0" borderId="0" xfId="0" applyNumberFormat="1" applyFont="1" applyBorder="1" applyAlignment="1">
      <alignment horizontal="center" wrapText="1"/>
    </xf>
    <xf numFmtId="0" fontId="27" fillId="0" borderId="0" xfId="0" applyFont="1" applyBorder="1" applyAlignment="1">
      <alignment horizontal="center" wrapText="1"/>
    </xf>
    <xf numFmtId="1" fontId="27" fillId="0" borderId="0" xfId="0" applyNumberFormat="1" applyFont="1" applyAlignment="1">
      <alignment horizontal="center" wrapText="1"/>
    </xf>
    <xf numFmtId="0" fontId="28" fillId="0" borderId="0" xfId="0" applyFont="1" applyBorder="1" applyAlignment="1">
      <alignment horizontal="left" wrapText="1"/>
    </xf>
    <xf numFmtId="3" fontId="49" fillId="0" borderId="0" xfId="0" applyNumberFormat="1" applyFont="1" applyBorder="1" applyAlignment="1">
      <alignment horizontal="left" wrapText="1"/>
    </xf>
    <xf numFmtId="3" fontId="28" fillId="0" borderId="0" xfId="0" applyNumberFormat="1" applyFont="1" applyFill="1" applyBorder="1" applyAlignment="1">
      <alignment horizontal="left" wrapText="1"/>
    </xf>
    <xf numFmtId="3" fontId="49" fillId="26" borderId="0" xfId="0" applyNumberFormat="1" applyFont="1" applyFill="1" applyBorder="1" applyAlignment="1">
      <alignment horizontal="left" wrapText="1"/>
    </xf>
    <xf numFmtId="3" fontId="28" fillId="0" borderId="0" xfId="0" applyNumberFormat="1" applyFont="1" applyBorder="1" applyAlignment="1">
      <alignment horizontal="left" wrapText="1"/>
    </xf>
    <xf numFmtId="168" fontId="49" fillId="0" borderId="0" xfId="0" applyNumberFormat="1" applyFont="1" applyBorder="1" applyAlignment="1">
      <alignment horizontal="left" wrapText="1"/>
    </xf>
    <xf numFmtId="168" fontId="28" fillId="0" borderId="0" xfId="0" applyNumberFormat="1" applyFont="1" applyFill="1" applyBorder="1" applyAlignment="1">
      <alignment horizontal="left" wrapText="1"/>
    </xf>
    <xf numFmtId="3" fontId="28" fillId="0" borderId="0" xfId="0" applyNumberFormat="1" applyFont="1" applyFill="1" applyBorder="1" applyAlignment="1">
      <alignment horizontal="right" wrapText="1"/>
    </xf>
    <xf numFmtId="0" fontId="27" fillId="0" borderId="0" xfId="0" applyFont="1" applyAlignment="1">
      <alignment wrapText="1"/>
    </xf>
    <xf numFmtId="0" fontId="27" fillId="0" borderId="0" xfId="0" applyFont="1" applyAlignment="1">
      <alignment horizontal="center" wrapText="1"/>
    </xf>
    <xf numFmtId="0" fontId="27" fillId="0" borderId="0" xfId="0" applyFont="1" applyAlignment="1">
      <alignment horizontal="left" wrapText="1"/>
    </xf>
    <xf numFmtId="3" fontId="48" fillId="0" borderId="0" xfId="0" applyNumberFormat="1" applyFont="1" applyAlignment="1">
      <alignment horizontal="right" wrapText="1"/>
    </xf>
    <xf numFmtId="3" fontId="27" fillId="0" borderId="0" xfId="0" applyNumberFormat="1" applyFont="1" applyFill="1" applyAlignment="1">
      <alignment horizontal="right" wrapText="1"/>
    </xf>
    <xf numFmtId="3" fontId="48" fillId="26" borderId="0" xfId="0" applyNumberFormat="1" applyFont="1" applyFill="1" applyAlignment="1">
      <alignment horizontal="right" wrapText="1"/>
    </xf>
    <xf numFmtId="3" fontId="27" fillId="0" borderId="0" xfId="0" applyNumberFormat="1" applyFont="1" applyAlignment="1">
      <alignment horizontal="right" wrapText="1"/>
    </xf>
    <xf numFmtId="168" fontId="48" fillId="0" borderId="0" xfId="0" applyNumberFormat="1" applyFont="1" applyAlignment="1">
      <alignment horizontal="right" wrapText="1"/>
    </xf>
    <xf numFmtId="168" fontId="27" fillId="0" borderId="0" xfId="0" applyNumberFormat="1" applyFont="1" applyFill="1" applyAlignment="1">
      <alignment horizontal="right" wrapText="1"/>
    </xf>
    <xf numFmtId="3" fontId="28" fillId="0" borderId="0" xfId="0" applyNumberFormat="1" applyFont="1" applyFill="1" applyBorder="1" applyAlignment="1">
      <alignment wrapText="1"/>
    </xf>
    <xf numFmtId="3" fontId="27" fillId="0" borderId="0" xfId="0" applyNumberFormat="1" applyFont="1" applyFill="1" applyAlignment="1">
      <alignment wrapText="1"/>
    </xf>
    <xf numFmtId="0" fontId="27" fillId="0" borderId="11" xfId="237" applyFont="1" applyFill="1" applyBorder="1" applyAlignment="1">
      <alignment wrapText="1"/>
    </xf>
    <xf numFmtId="1" fontId="27" fillId="0" borderId="0" xfId="237" applyNumberFormat="1" applyFont="1" applyFill="1" applyBorder="1" applyAlignment="1">
      <alignment horizontal="center" wrapText="1"/>
    </xf>
    <xf numFmtId="3" fontId="27" fillId="0" borderId="11" xfId="239" applyNumberFormat="1" applyFont="1" applyFill="1" applyBorder="1" applyAlignment="1">
      <alignment wrapText="1"/>
    </xf>
    <xf numFmtId="1" fontId="27" fillId="0" borderId="0" xfId="82" applyNumberFormat="1" applyFont="1" applyFill="1" applyBorder="1" applyAlignment="1">
      <alignment wrapText="1"/>
    </xf>
    <xf numFmtId="0" fontId="26" fillId="0" borderId="16" xfId="0" applyFont="1" applyFill="1" applyBorder="1" applyAlignment="1">
      <alignment wrapText="1"/>
    </xf>
    <xf numFmtId="3" fontId="27" fillId="0" borderId="11" xfId="28" applyNumberFormat="1" applyFont="1" applyFill="1" applyBorder="1" applyAlignment="1">
      <alignment wrapText="1"/>
    </xf>
    <xf numFmtId="3" fontId="27" fillId="0" borderId="13" xfId="0" applyNumberFormat="1" applyFont="1" applyFill="1" applyBorder="1" applyAlignment="1">
      <alignment horizontal="right" vertical="top" wrapText="1"/>
    </xf>
    <xf numFmtId="3" fontId="27" fillId="0" borderId="13" xfId="0" applyNumberFormat="1" applyFont="1" applyFill="1" applyBorder="1" applyAlignment="1">
      <alignment vertical="top" wrapText="1"/>
    </xf>
    <xf numFmtId="0" fontId="27" fillId="0" borderId="12" xfId="80" applyFont="1" applyFill="1" applyBorder="1" applyAlignment="1"/>
    <xf numFmtId="0" fontId="27" fillId="26" borderId="11" xfId="0" applyFont="1" applyFill="1" applyBorder="1" applyAlignment="1">
      <alignment wrapText="1"/>
    </xf>
    <xf numFmtId="3" fontId="27" fillId="0" borderId="11" xfId="28" applyNumberFormat="1" applyFont="1" applyFill="1" applyBorder="1" applyAlignment="1">
      <alignment horizontal="left" wrapText="1"/>
    </xf>
    <xf numFmtId="3" fontId="28" fillId="0" borderId="10" xfId="0" applyNumberFormat="1" applyFont="1" applyFill="1" applyBorder="1" applyAlignment="1">
      <alignment wrapText="1"/>
    </xf>
    <xf numFmtId="3" fontId="28" fillId="0" borderId="20" xfId="0" applyNumberFormat="1" applyFont="1" applyFill="1" applyBorder="1" applyAlignment="1">
      <alignment wrapText="1"/>
    </xf>
    <xf numFmtId="3" fontId="27" fillId="0" borderId="10" xfId="0" applyNumberFormat="1" applyFont="1" applyFill="1" applyBorder="1" applyAlignment="1">
      <alignment wrapText="1"/>
    </xf>
    <xf numFmtId="3" fontId="27" fillId="26" borderId="11" xfId="0" applyNumberFormat="1" applyFont="1" applyFill="1" applyBorder="1" applyAlignment="1">
      <alignment horizontal="right" wrapText="1"/>
    </xf>
    <xf numFmtId="0" fontId="29" fillId="0" borderId="0" xfId="0" applyFont="1" applyFill="1" applyAlignment="1">
      <alignment wrapText="1"/>
    </xf>
    <xf numFmtId="0" fontId="29" fillId="27" borderId="0" xfId="0" applyFont="1" applyFill="1" applyAlignment="1">
      <alignment wrapText="1"/>
    </xf>
    <xf numFmtId="0" fontId="29" fillId="27" borderId="0" xfId="0" applyFont="1" applyFill="1" applyBorder="1" applyAlignment="1">
      <alignment wrapText="1"/>
    </xf>
    <xf numFmtId="0" fontId="30" fillId="27" borderId="0" xfId="0" applyFont="1" applyFill="1" applyAlignment="1">
      <alignment wrapText="1"/>
    </xf>
    <xf numFmtId="0" fontId="50" fillId="28" borderId="21" xfId="0" applyNumberFormat="1" applyFont="1" applyFill="1" applyBorder="1" applyAlignment="1" applyProtection="1">
      <alignment horizontal="left"/>
      <protection locked="0"/>
    </xf>
    <xf numFmtId="168" fontId="51" fillId="28" borderId="22" xfId="28" applyNumberFormat="1" applyFont="1" applyFill="1" applyBorder="1" applyAlignment="1" applyProtection="1">
      <alignment horizontal="left"/>
      <protection locked="0"/>
    </xf>
    <xf numFmtId="3" fontId="51" fillId="28" borderId="22" xfId="28" applyNumberFormat="1" applyFont="1" applyFill="1" applyBorder="1" applyAlignment="1" applyProtection="1">
      <alignment horizontal="left"/>
      <protection locked="0"/>
    </xf>
    <xf numFmtId="0" fontId="51" fillId="28" borderId="22" xfId="0" applyNumberFormat="1" applyFont="1" applyFill="1" applyBorder="1" applyAlignment="1" applyProtection="1">
      <alignment horizontal="left"/>
      <protection locked="0"/>
    </xf>
    <xf numFmtId="0" fontId="51" fillId="28" borderId="23" xfId="0" applyNumberFormat="1" applyFont="1" applyFill="1" applyBorder="1" applyAlignment="1" applyProtection="1">
      <alignment horizontal="left"/>
      <protection locked="0"/>
    </xf>
    <xf numFmtId="0" fontId="0" fillId="0" borderId="0" xfId="0" applyFill="1"/>
    <xf numFmtId="0" fontId="3" fillId="0" borderId="0" xfId="0" applyFont="1"/>
    <xf numFmtId="168" fontId="32" fillId="28" borderId="22" xfId="28" applyNumberFormat="1" applyFont="1" applyFill="1" applyBorder="1" applyAlignment="1" applyProtection="1">
      <alignment horizontal="center"/>
      <protection locked="0"/>
    </xf>
    <xf numFmtId="3" fontId="32" fillId="28" borderId="22" xfId="28" applyNumberFormat="1" applyFont="1" applyFill="1" applyBorder="1" applyAlignment="1" applyProtection="1">
      <alignment horizontal="center"/>
      <protection locked="0"/>
    </xf>
    <xf numFmtId="0" fontId="52" fillId="28" borderId="24" xfId="0" applyNumberFormat="1" applyFont="1" applyFill="1" applyBorder="1" applyProtection="1">
      <protection locked="0"/>
    </xf>
    <xf numFmtId="168" fontId="52" fillId="28" borderId="24" xfId="28" applyNumberFormat="1" applyFont="1" applyFill="1" applyBorder="1" applyAlignment="1">
      <alignment horizontal="center" wrapText="1"/>
    </xf>
    <xf numFmtId="3" fontId="52" fillId="28" borderId="24" xfId="0" applyNumberFormat="1" applyFont="1" applyFill="1" applyBorder="1" applyAlignment="1">
      <alignment horizontal="center" wrapText="1"/>
    </xf>
    <xf numFmtId="0" fontId="52" fillId="28" borderId="24" xfId="0" applyFont="1" applyFill="1" applyBorder="1" applyAlignment="1">
      <alignment horizontal="center" wrapText="1"/>
    </xf>
    <xf numFmtId="0" fontId="34" fillId="0" borderId="0" xfId="0" applyFont="1" applyFill="1"/>
    <xf numFmtId="0" fontId="3" fillId="0" borderId="0" xfId="0" applyFont="1" applyFill="1"/>
    <xf numFmtId="0" fontId="31" fillId="0" borderId="24" xfId="0" applyNumberFormat="1" applyFont="1" applyFill="1" applyBorder="1" applyProtection="1">
      <protection locked="0"/>
    </xf>
    <xf numFmtId="168" fontId="31" fillId="0" borderId="24" xfId="28" applyNumberFormat="1" applyFont="1" applyFill="1" applyBorder="1" applyAlignment="1">
      <alignment horizontal="right"/>
    </xf>
    <xf numFmtId="0" fontId="1" fillId="0" borderId="0" xfId="0" applyFont="1" applyFill="1"/>
    <xf numFmtId="0" fontId="35" fillId="0" borderId="24" xfId="0" applyNumberFormat="1" applyFont="1" applyFill="1" applyBorder="1" applyProtection="1">
      <protection locked="0"/>
    </xf>
    <xf numFmtId="168" fontId="35" fillId="0" borderId="14" xfId="28" applyNumberFormat="1" applyFont="1" applyFill="1" applyBorder="1" applyAlignment="1">
      <alignment horizontal="right"/>
    </xf>
    <xf numFmtId="3" fontId="31" fillId="0" borderId="0" xfId="0" applyNumberFormat="1" applyFont="1" applyFill="1" applyBorder="1" applyAlignment="1">
      <alignment horizontal="right"/>
    </xf>
    <xf numFmtId="168" fontId="31" fillId="0" borderId="10" xfId="28" applyNumberFormat="1" applyFont="1" applyFill="1" applyBorder="1" applyAlignment="1">
      <alignment horizontal="right"/>
    </xf>
    <xf numFmtId="0" fontId="31" fillId="0" borderId="11" xfId="0" applyFont="1" applyFill="1" applyBorder="1" applyAlignment="1">
      <alignment vertical="top" wrapText="1"/>
    </xf>
    <xf numFmtId="0" fontId="31" fillId="0" borderId="24" xfId="0" applyFont="1" applyFill="1" applyBorder="1" applyAlignment="1">
      <alignment vertical="top" wrapText="1"/>
    </xf>
    <xf numFmtId="43" fontId="0" fillId="0" borderId="0" xfId="0" applyNumberFormat="1" applyFill="1"/>
    <xf numFmtId="168" fontId="35" fillId="0" borderId="20" xfId="28" applyNumberFormat="1" applyFont="1" applyFill="1" applyBorder="1" applyAlignment="1">
      <alignment horizontal="right"/>
    </xf>
    <xf numFmtId="3" fontId="35" fillId="0" borderId="20" xfId="28" applyNumberFormat="1" applyFont="1" applyFill="1" applyBorder="1" applyAlignment="1">
      <alignment horizontal="right"/>
    </xf>
    <xf numFmtId="169" fontId="0" fillId="0" borderId="0" xfId="28" applyNumberFormat="1" applyFont="1" applyFill="1"/>
    <xf numFmtId="0" fontId="35" fillId="0" borderId="0" xfId="0" applyNumberFormat="1" applyFont="1" applyFill="1" applyBorder="1" applyProtection="1">
      <protection locked="0"/>
    </xf>
    <xf numFmtId="168" fontId="35" fillId="0" borderId="0" xfId="28" applyNumberFormat="1" applyFont="1" applyFill="1" applyBorder="1" applyAlignment="1">
      <alignment horizontal="right"/>
    </xf>
    <xf numFmtId="3" fontId="35" fillId="0" borderId="0" xfId="28" applyNumberFormat="1" applyFont="1" applyFill="1" applyBorder="1" applyAlignment="1">
      <alignment horizontal="right"/>
    </xf>
    <xf numFmtId="3" fontId="35" fillId="0" borderId="0" xfId="0" applyNumberFormat="1" applyFont="1" applyFill="1" applyBorder="1" applyAlignment="1">
      <alignment horizontal="right"/>
    </xf>
    <xf numFmtId="0" fontId="31" fillId="0" borderId="0" xfId="0" applyNumberFormat="1" applyFont="1" applyFill="1" applyProtection="1">
      <protection locked="0"/>
    </xf>
    <xf numFmtId="168" fontId="31" fillId="0" borderId="0" xfId="28" applyNumberFormat="1" applyFont="1" applyFill="1" applyProtection="1">
      <protection locked="0"/>
    </xf>
    <xf numFmtId="3" fontId="31" fillId="0" borderId="0" xfId="28" applyNumberFormat="1" applyFont="1" applyFill="1" applyProtection="1">
      <protection locked="0"/>
    </xf>
    <xf numFmtId="0" fontId="50" fillId="0" borderId="0" xfId="0" applyNumberFormat="1" applyFont="1" applyFill="1" applyBorder="1" applyAlignment="1" applyProtection="1">
      <alignment horizontal="left"/>
      <protection locked="0"/>
    </xf>
    <xf numFmtId="0" fontId="50" fillId="28" borderId="25" xfId="0" applyNumberFormat="1" applyFont="1" applyFill="1" applyBorder="1" applyAlignment="1" applyProtection="1">
      <alignment horizontal="left"/>
      <protection locked="0"/>
    </xf>
    <xf numFmtId="0" fontId="35" fillId="0" borderId="26" xfId="0" applyNumberFormat="1" applyFont="1" applyFill="1" applyBorder="1" applyProtection="1">
      <protection locked="0"/>
    </xf>
    <xf numFmtId="0" fontId="31" fillId="0" borderId="0" xfId="0" applyNumberFormat="1" applyFont="1" applyBorder="1" applyProtection="1">
      <protection locked="0"/>
    </xf>
    <xf numFmtId="168" fontId="50" fillId="28" borderId="0" xfId="28" applyNumberFormat="1" applyFont="1" applyFill="1" applyBorder="1" applyAlignment="1" applyProtection="1">
      <alignment horizontal="left"/>
      <protection locked="0"/>
    </xf>
    <xf numFmtId="3" fontId="50" fillId="28" borderId="0" xfId="28" applyNumberFormat="1" applyFont="1" applyFill="1" applyBorder="1" applyAlignment="1" applyProtection="1">
      <alignment horizontal="left"/>
      <protection locked="0"/>
    </xf>
    <xf numFmtId="3" fontId="31" fillId="0" borderId="24" xfId="0" applyNumberFormat="1" applyFont="1" applyBorder="1" applyAlignment="1">
      <alignment horizontal="right"/>
    </xf>
    <xf numFmtId="0" fontId="31" fillId="0" borderId="24" xfId="0" applyNumberFormat="1" applyFont="1" applyBorder="1" applyProtection="1">
      <protection locked="0"/>
    </xf>
    <xf numFmtId="0" fontId="36" fillId="0" borderId="24" xfId="0" applyFont="1" applyBorder="1" applyAlignment="1">
      <alignment horizontal="center"/>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40" fillId="0" borderId="12" xfId="0" applyFont="1" applyBorder="1"/>
    <xf numFmtId="165" fontId="3" fillId="0" borderId="29" xfId="0" applyNumberFormat="1" applyFont="1" applyBorder="1" applyAlignment="1">
      <alignment horizontal="center"/>
    </xf>
    <xf numFmtId="165" fontId="3" fillId="0" borderId="29" xfId="0" applyNumberFormat="1" applyFont="1" applyBorder="1"/>
    <xf numFmtId="0" fontId="38" fillId="0" borderId="12" xfId="0" applyNumberFormat="1" applyFont="1" applyFill="1" applyBorder="1" applyAlignment="1" applyProtection="1">
      <alignment horizontal="left" indent="1"/>
    </xf>
    <xf numFmtId="165" fontId="37" fillId="0" borderId="29" xfId="0" applyNumberFormat="1" applyFont="1" applyFill="1" applyBorder="1" applyProtection="1"/>
    <xf numFmtId="0" fontId="39" fillId="0" borderId="12" xfId="0" applyNumberFormat="1" applyFont="1" applyFill="1" applyBorder="1" applyAlignment="1" applyProtection="1">
      <alignment horizontal="left" indent="2"/>
    </xf>
    <xf numFmtId="165" fontId="3" fillId="25" borderId="29" xfId="0" applyNumberFormat="1" applyFont="1" applyFill="1" applyBorder="1" applyAlignment="1">
      <alignment horizontal="right"/>
    </xf>
    <xf numFmtId="165" fontId="3" fillId="25" borderId="29" xfId="0" applyNumberFormat="1" applyFont="1" applyFill="1" applyBorder="1" applyProtection="1">
      <protection locked="0"/>
    </xf>
    <xf numFmtId="0" fontId="38" fillId="0" borderId="30" xfId="0" applyFont="1" applyBorder="1" applyAlignment="1">
      <alignment horizontal="left"/>
    </xf>
    <xf numFmtId="165" fontId="37" fillId="0" borderId="31" xfId="0" applyNumberFormat="1" applyFont="1" applyFill="1" applyBorder="1"/>
    <xf numFmtId="0" fontId="38" fillId="0" borderId="12" xfId="0" applyFont="1" applyBorder="1" applyAlignment="1">
      <alignment horizontal="left"/>
    </xf>
    <xf numFmtId="165" fontId="37" fillId="0" borderId="29" xfId="0" applyNumberFormat="1" applyFont="1" applyBorder="1"/>
    <xf numFmtId="165" fontId="37" fillId="0" borderId="0" xfId="0" applyNumberFormat="1" applyFont="1" applyBorder="1"/>
    <xf numFmtId="0" fontId="39" fillId="0" borderId="12" xfId="0" applyFont="1" applyBorder="1" applyAlignment="1">
      <alignment horizontal="left" indent="2"/>
    </xf>
    <xf numFmtId="165" fontId="3" fillId="25" borderId="29" xfId="28" applyNumberFormat="1" applyFont="1" applyFill="1" applyBorder="1" applyProtection="1">
      <protection locked="0"/>
    </xf>
    <xf numFmtId="0" fontId="39" fillId="0" borderId="12" xfId="0" applyFont="1" applyFill="1" applyBorder="1" applyAlignment="1">
      <alignment horizontal="left" indent="2"/>
    </xf>
    <xf numFmtId="0" fontId="38" fillId="0" borderId="12" xfId="0" applyFont="1" applyFill="1" applyBorder="1" applyAlignment="1">
      <alignment horizontal="left" indent="1"/>
    </xf>
    <xf numFmtId="165" fontId="37" fillId="0" borderId="32" xfId="0" applyNumberFormat="1" applyFont="1" applyBorder="1"/>
    <xf numFmtId="0" fontId="38" fillId="0" borderId="12" xfId="0" applyFont="1" applyBorder="1" applyAlignment="1">
      <alignment horizontal="left" indent="1"/>
    </xf>
    <xf numFmtId="0" fontId="38" fillId="0" borderId="30" xfId="0" applyFont="1" applyBorder="1"/>
    <xf numFmtId="165" fontId="37" fillId="0" borderId="31" xfId="0" applyNumberFormat="1" applyFont="1" applyBorder="1"/>
    <xf numFmtId="0" fontId="1" fillId="0" borderId="0" xfId="0" applyFont="1"/>
    <xf numFmtId="0" fontId="39" fillId="0" borderId="12" xfId="0" applyNumberFormat="1" applyFont="1" applyFill="1" applyBorder="1" applyAlignment="1">
      <alignment horizontal="left" indent="1"/>
    </xf>
    <xf numFmtId="0" fontId="39" fillId="0" borderId="12" xfId="0" applyNumberFormat="1" applyFont="1" applyBorder="1" applyAlignment="1">
      <alignment horizontal="left" indent="1"/>
    </xf>
    <xf numFmtId="165" fontId="3" fillId="0" borderId="29" xfId="0" applyNumberFormat="1" applyFont="1" applyFill="1" applyBorder="1" applyProtection="1"/>
    <xf numFmtId="0" fontId="39" fillId="0" borderId="12" xfId="0" applyFont="1" applyBorder="1" applyAlignment="1">
      <alignment horizontal="left" indent="1"/>
    </xf>
    <xf numFmtId="0" fontId="41" fillId="0" borderId="24" xfId="0" applyFont="1" applyBorder="1" applyAlignment="1">
      <alignment horizontal="center"/>
    </xf>
    <xf numFmtId="0" fontId="40" fillId="0" borderId="25" xfId="0" applyNumberFormat="1" applyFont="1" applyBorder="1"/>
    <xf numFmtId="165" fontId="38" fillId="0" borderId="33" xfId="0" applyNumberFormat="1" applyFont="1" applyBorder="1" applyAlignment="1" applyProtection="1">
      <alignment horizontal="center"/>
    </xf>
    <xf numFmtId="165" fontId="38" fillId="0" borderId="33" xfId="0" applyNumberFormat="1" applyFont="1" applyBorder="1" applyAlignment="1">
      <alignment horizontal="center"/>
    </xf>
    <xf numFmtId="0" fontId="40" fillId="0" borderId="12" xfId="0" applyNumberFormat="1" applyFont="1" applyBorder="1"/>
    <xf numFmtId="165" fontId="38" fillId="0" borderId="29" xfId="0" applyNumberFormat="1" applyFont="1" applyBorder="1" applyAlignment="1">
      <alignment horizontal="center"/>
    </xf>
    <xf numFmtId="165" fontId="37" fillId="0" borderId="29" xfId="0" applyNumberFormat="1" applyFont="1" applyFill="1" applyBorder="1"/>
    <xf numFmtId="165" fontId="3" fillId="0" borderId="32" xfId="0" applyNumberFormat="1" applyFont="1" applyFill="1" applyBorder="1" applyProtection="1"/>
    <xf numFmtId="0" fontId="39" fillId="0" borderId="12" xfId="0" applyNumberFormat="1" applyFont="1" applyBorder="1" applyAlignment="1">
      <alignment horizontal="left" indent="2"/>
    </xf>
    <xf numFmtId="0" fontId="39" fillId="0" borderId="12" xfId="0" applyNumberFormat="1" applyFont="1" applyBorder="1"/>
    <xf numFmtId="165" fontId="3" fillId="25" borderId="34" xfId="0" applyNumberFormat="1" applyFont="1" applyFill="1" applyBorder="1" applyAlignment="1">
      <alignment horizontal="right"/>
    </xf>
    <xf numFmtId="165" fontId="37" fillId="25" borderId="32" xfId="0" applyNumberFormat="1" applyFont="1" applyFill="1" applyBorder="1" applyProtection="1">
      <protection locked="0"/>
    </xf>
    <xf numFmtId="165" fontId="37" fillId="25" borderId="34" xfId="0" applyNumberFormat="1" applyFont="1" applyFill="1" applyBorder="1" applyProtection="1">
      <protection locked="0"/>
    </xf>
    <xf numFmtId="165" fontId="3" fillId="25" borderId="32" xfId="0" applyNumberFormat="1" applyFont="1" applyFill="1" applyBorder="1" applyAlignment="1">
      <alignment horizontal="right"/>
    </xf>
    <xf numFmtId="165" fontId="3" fillId="25" borderId="34" xfId="0" applyNumberFormat="1" applyFont="1" applyFill="1" applyBorder="1" applyProtection="1">
      <protection locked="0"/>
    </xf>
    <xf numFmtId="0" fontId="39" fillId="25" borderId="12" xfId="0" applyNumberFormat="1" applyFont="1" applyFill="1" applyBorder="1" applyAlignment="1" applyProtection="1">
      <alignment horizontal="left" indent="1"/>
      <protection locked="0"/>
    </xf>
    <xf numFmtId="165" fontId="3" fillId="25" borderId="32" xfId="0" applyNumberFormat="1" applyFont="1" applyFill="1" applyBorder="1" applyProtection="1">
      <protection locked="0"/>
    </xf>
    <xf numFmtId="0" fontId="38" fillId="0" borderId="30" xfId="0" applyNumberFormat="1" applyFont="1" applyBorder="1"/>
    <xf numFmtId="0" fontId="38" fillId="0" borderId="0" xfId="0" applyNumberFormat="1" applyFont="1" applyBorder="1"/>
    <xf numFmtId="0" fontId="40" fillId="0" borderId="25" xfId="0" applyFont="1" applyBorder="1"/>
    <xf numFmtId="165" fontId="37" fillId="0" borderId="35" xfId="0" applyNumberFormat="1" applyFont="1" applyBorder="1"/>
    <xf numFmtId="165" fontId="37" fillId="0" borderId="33" xfId="0" applyNumberFormat="1" applyFont="1" applyBorder="1"/>
    <xf numFmtId="165" fontId="3" fillId="25" borderId="36" xfId="0" applyNumberFormat="1" applyFont="1" applyFill="1" applyBorder="1" applyProtection="1">
      <protection locked="0"/>
    </xf>
    <xf numFmtId="0" fontId="39" fillId="0" borderId="37" xfId="0" applyFont="1" applyBorder="1" applyAlignment="1">
      <alignment horizontal="left" indent="1"/>
    </xf>
    <xf numFmtId="165" fontId="3" fillId="25" borderId="38" xfId="0" applyNumberFormat="1" applyFont="1" applyFill="1" applyBorder="1" applyProtection="1">
      <protection locked="0"/>
    </xf>
    <xf numFmtId="165" fontId="3" fillId="25" borderId="39" xfId="0" applyNumberFormat="1" applyFont="1" applyFill="1" applyBorder="1" applyProtection="1">
      <protection locked="0"/>
    </xf>
    <xf numFmtId="166" fontId="3" fillId="0" borderId="0" xfId="0" applyNumberFormat="1" applyFont="1"/>
    <xf numFmtId="165" fontId="37" fillId="0" borderId="33" xfId="0" applyNumberFormat="1" applyFont="1" applyBorder="1" applyAlignment="1" applyProtection="1">
      <alignment horizontal="center"/>
    </xf>
    <xf numFmtId="165" fontId="37" fillId="0" borderId="33" xfId="0" applyNumberFormat="1" applyFont="1" applyBorder="1" applyAlignment="1">
      <alignment horizontal="center"/>
    </xf>
    <xf numFmtId="165" fontId="37" fillId="0" borderId="29" xfId="0" applyNumberFormat="1" applyFont="1" applyBorder="1" applyAlignment="1">
      <alignment horizontal="center"/>
    </xf>
    <xf numFmtId="0" fontId="43" fillId="24" borderId="21" xfId="0" applyNumberFormat="1" applyFont="1" applyFill="1" applyBorder="1" applyAlignment="1" applyProtection="1">
      <alignment horizontal="left"/>
      <protection locked="0"/>
    </xf>
    <xf numFmtId="0" fontId="44" fillId="24" borderId="0" xfId="0" applyFont="1" applyFill="1"/>
    <xf numFmtId="0" fontId="45" fillId="24" borderId="24" xfId="0" applyNumberFormat="1" applyFont="1" applyFill="1" applyBorder="1" applyProtection="1">
      <protection locked="0"/>
    </xf>
    <xf numFmtId="167" fontId="31" fillId="0" borderId="24" xfId="0" applyNumberFormat="1" applyFont="1" applyBorder="1" applyProtection="1">
      <protection locked="0"/>
    </xf>
    <xf numFmtId="167" fontId="31" fillId="0" borderId="24" xfId="0" applyNumberFormat="1" applyFont="1" applyFill="1" applyBorder="1" applyProtection="1">
      <protection locked="0"/>
    </xf>
    <xf numFmtId="3" fontId="35" fillId="0" borderId="14" xfId="0" applyNumberFormat="1" applyFont="1" applyBorder="1"/>
    <xf numFmtId="0" fontId="1" fillId="0" borderId="0" xfId="0" applyFont="1" applyBorder="1"/>
    <xf numFmtId="0" fontId="1" fillId="0" borderId="24" xfId="0" applyFont="1" applyBorder="1"/>
    <xf numFmtId="0" fontId="39" fillId="0" borderId="0" xfId="0" applyFont="1"/>
    <xf numFmtId="0" fontId="45" fillId="24" borderId="40" xfId="0" applyFont="1" applyFill="1" applyBorder="1"/>
    <xf numFmtId="0" fontId="31" fillId="0" borderId="41" xfId="0" applyFont="1" applyBorder="1"/>
    <xf numFmtId="0" fontId="31" fillId="0" borderId="42" xfId="0" applyFont="1" applyBorder="1"/>
    <xf numFmtId="0" fontId="35" fillId="0" borderId="43" xfId="0" applyFont="1" applyBorder="1"/>
    <xf numFmtId="168" fontId="0" fillId="0" borderId="0" xfId="28" applyNumberFormat="1" applyFont="1"/>
    <xf numFmtId="3" fontId="0" fillId="0" borderId="0" xfId="28" applyNumberFormat="1" applyFont="1"/>
    <xf numFmtId="168" fontId="31" fillId="0" borderId="0" xfId="28" applyNumberFormat="1" applyFont="1" applyFill="1" applyBorder="1" applyAlignment="1">
      <alignment horizontal="right"/>
    </xf>
    <xf numFmtId="168" fontId="37" fillId="0" borderId="20" xfId="28" applyNumberFormat="1" applyFont="1" applyFill="1" applyBorder="1" applyAlignment="1">
      <alignment horizontal="right"/>
    </xf>
    <xf numFmtId="0" fontId="27" fillId="26" borderId="11" xfId="0" applyFont="1" applyFill="1" applyBorder="1" applyAlignment="1">
      <alignment horizontal="center" wrapText="1"/>
    </xf>
    <xf numFmtId="0" fontId="27" fillId="26" borderId="0" xfId="0" applyFont="1" applyFill="1" applyBorder="1" applyAlignment="1">
      <alignment wrapText="1"/>
    </xf>
    <xf numFmtId="0" fontId="27" fillId="26" borderId="11" xfId="0" quotePrefix="1" applyFont="1" applyFill="1" applyBorder="1" applyAlignment="1">
      <alignment horizontal="center" wrapText="1"/>
    </xf>
    <xf numFmtId="1" fontId="27" fillId="26" borderId="11" xfId="0" applyNumberFormat="1" applyFont="1" applyFill="1" applyBorder="1" applyAlignment="1">
      <alignment horizontal="center" wrapText="1"/>
    </xf>
    <xf numFmtId="3" fontId="27" fillId="29" borderId="0" xfId="0" applyNumberFormat="1" applyFont="1" applyFill="1" applyBorder="1" applyAlignment="1">
      <alignment vertical="top" wrapText="1"/>
    </xf>
    <xf numFmtId="3" fontId="28" fillId="29" borderId="0" xfId="0" applyNumberFormat="1" applyFont="1" applyFill="1" applyBorder="1" applyAlignment="1">
      <alignment horizontal="left" wrapText="1"/>
    </xf>
    <xf numFmtId="3" fontId="27" fillId="29" borderId="0" xfId="0" applyNumberFormat="1" applyFont="1" applyFill="1" applyAlignment="1">
      <alignment horizontal="right" wrapText="1"/>
    </xf>
    <xf numFmtId="3" fontId="51" fillId="28" borderId="22" xfId="28" applyNumberFormat="1" applyFont="1" applyFill="1" applyBorder="1" applyAlignment="1" applyProtection="1">
      <alignment horizontal="center"/>
      <protection locked="0"/>
    </xf>
    <xf numFmtId="0" fontId="51" fillId="28" borderId="22" xfId="0" applyNumberFormat="1" applyFont="1" applyFill="1" applyBorder="1" applyAlignment="1" applyProtection="1">
      <alignment horizontal="center"/>
      <protection locked="0"/>
    </xf>
    <xf numFmtId="0" fontId="51" fillId="28" borderId="23" xfId="0" applyNumberFormat="1" applyFont="1" applyFill="1" applyBorder="1" applyAlignment="1" applyProtection="1">
      <alignment horizontal="center"/>
      <protection locked="0"/>
    </xf>
    <xf numFmtId="0" fontId="27" fillId="0" borderId="0" xfId="0" applyFont="1" applyFill="1" applyBorder="1" applyAlignment="1">
      <alignment horizontal="left" wrapText="1"/>
    </xf>
    <xf numFmtId="3" fontId="53" fillId="28" borderId="24" xfId="0" applyNumberFormat="1" applyFont="1" applyFill="1" applyBorder="1" applyAlignment="1">
      <alignment horizontal="center" wrapText="1"/>
    </xf>
    <xf numFmtId="168" fontId="54" fillId="0" borderId="24" xfId="28" applyNumberFormat="1" applyFont="1" applyFill="1" applyBorder="1" applyAlignment="1">
      <alignment horizontal="right"/>
    </xf>
    <xf numFmtId="168" fontId="55" fillId="0" borderId="14" xfId="28" applyNumberFormat="1" applyFont="1" applyFill="1" applyBorder="1" applyAlignment="1">
      <alignment horizontal="right"/>
    </xf>
    <xf numFmtId="168" fontId="54" fillId="0" borderId="10" xfId="28" applyNumberFormat="1" applyFont="1" applyFill="1" applyBorder="1" applyAlignment="1">
      <alignment horizontal="right"/>
    </xf>
    <xf numFmtId="3" fontId="55" fillId="0" borderId="20" xfId="28" applyNumberFormat="1" applyFont="1" applyFill="1" applyBorder="1" applyAlignment="1">
      <alignment horizontal="right"/>
    </xf>
    <xf numFmtId="0" fontId="50" fillId="28" borderId="0" xfId="0" applyNumberFormat="1" applyFont="1" applyFill="1" applyBorder="1" applyAlignment="1" applyProtection="1">
      <alignment horizontal="left"/>
      <protection locked="0"/>
    </xf>
    <xf numFmtId="0" fontId="27" fillId="26" borderId="11" xfId="0" applyFont="1" applyFill="1" applyBorder="1" applyAlignment="1">
      <alignment vertical="top" wrapText="1"/>
    </xf>
    <xf numFmtId="3" fontId="27" fillId="26" borderId="11" xfId="0" applyNumberFormat="1" applyFont="1" applyFill="1" applyBorder="1" applyAlignment="1">
      <alignment vertical="top" wrapText="1"/>
    </xf>
    <xf numFmtId="3" fontId="27" fillId="26" borderId="11" xfId="0" applyNumberFormat="1" applyFont="1" applyFill="1" applyBorder="1" applyAlignment="1">
      <alignment wrapText="1"/>
    </xf>
    <xf numFmtId="0" fontId="57" fillId="28" borderId="0" xfId="0" applyFont="1" applyFill="1" applyAlignment="1">
      <alignment horizontal="center"/>
    </xf>
    <xf numFmtId="3" fontId="56" fillId="28" borderId="0" xfId="0" applyNumberFormat="1" applyFont="1" applyFill="1" applyAlignment="1">
      <alignment horizontal="center"/>
    </xf>
    <xf numFmtId="168" fontId="56" fillId="28" borderId="0" xfId="0" applyNumberFormat="1" applyFont="1" applyFill="1" applyAlignment="1">
      <alignment horizontal="center"/>
    </xf>
    <xf numFmtId="3" fontId="56" fillId="28" borderId="0" xfId="0" applyNumberFormat="1" applyFont="1" applyFill="1" applyAlignment="1">
      <alignment horizontal="right"/>
    </xf>
    <xf numFmtId="0" fontId="56" fillId="28" borderId="0" xfId="0" applyFont="1" applyFill="1" applyAlignment="1">
      <alignment horizontal="right"/>
    </xf>
    <xf numFmtId="0" fontId="58" fillId="28" borderId="44" xfId="0" applyFont="1" applyFill="1" applyBorder="1" applyAlignment="1">
      <alignment wrapText="1"/>
    </xf>
    <xf numFmtId="0" fontId="58" fillId="28" borderId="45" xfId="0" applyFont="1" applyFill="1" applyBorder="1" applyAlignment="1">
      <alignment wrapText="1"/>
    </xf>
    <xf numFmtId="0" fontId="58" fillId="28" borderId="46" xfId="0" applyFont="1" applyFill="1" applyBorder="1" applyAlignment="1">
      <alignment wrapText="1"/>
    </xf>
    <xf numFmtId="0" fontId="58" fillId="28" borderId="47" xfId="0" applyFont="1" applyFill="1" applyBorder="1" applyAlignment="1">
      <alignment horizontal="center" wrapText="1"/>
    </xf>
    <xf numFmtId="0" fontId="58" fillId="28" borderId="48" xfId="0" applyFont="1" applyFill="1" applyBorder="1" applyAlignment="1">
      <alignment wrapText="1"/>
    </xf>
    <xf numFmtId="0" fontId="58" fillId="28" borderId="48" xfId="0" applyFont="1" applyFill="1" applyBorder="1" applyAlignment="1">
      <alignment horizontal="center" wrapText="1"/>
    </xf>
    <xf numFmtId="1" fontId="58" fillId="28" borderId="48" xfId="0" applyNumberFormat="1" applyFont="1" applyFill="1" applyBorder="1" applyAlignment="1">
      <alignment horizontal="center" wrapText="1"/>
    </xf>
    <xf numFmtId="1" fontId="58" fillId="28" borderId="49" xfId="0" applyNumberFormat="1" applyFont="1" applyFill="1" applyBorder="1" applyAlignment="1">
      <alignment horizontal="center" wrapText="1"/>
    </xf>
    <xf numFmtId="0" fontId="58" fillId="28" borderId="44" xfId="0" applyFont="1" applyFill="1" applyBorder="1" applyAlignment="1">
      <alignment horizontal="left" wrapText="1"/>
    </xf>
    <xf numFmtId="0" fontId="58" fillId="28" borderId="50" xfId="0" applyFont="1" applyFill="1" applyBorder="1" applyAlignment="1">
      <alignment horizontal="center" wrapText="1"/>
    </xf>
    <xf numFmtId="3" fontId="58" fillId="28" borderId="50" xfId="0" applyNumberFormat="1" applyFont="1" applyFill="1" applyBorder="1" applyAlignment="1">
      <alignment horizontal="center" wrapText="1"/>
    </xf>
    <xf numFmtId="3" fontId="58" fillId="28" borderId="51" xfId="0" applyNumberFormat="1" applyFont="1" applyFill="1" applyBorder="1" applyAlignment="1">
      <alignment horizontal="center" wrapText="1"/>
    </xf>
    <xf numFmtId="168" fontId="58" fillId="28" borderId="50" xfId="0" applyNumberFormat="1" applyFont="1" applyFill="1" applyBorder="1" applyAlignment="1">
      <alignment horizontal="center" wrapText="1"/>
    </xf>
    <xf numFmtId="168" fontId="37" fillId="0" borderId="0" xfId="28" applyNumberFormat="1" applyFont="1" applyFill="1" applyBorder="1" applyAlignment="1">
      <alignment horizontal="right"/>
    </xf>
    <xf numFmtId="169" fontId="1" fillId="0" borderId="0" xfId="28" applyNumberFormat="1" applyFont="1" applyFill="1"/>
    <xf numFmtId="168" fontId="31" fillId="0" borderId="0" xfId="0" applyNumberFormat="1" applyFont="1" applyFill="1"/>
    <xf numFmtId="0" fontId="31" fillId="0" borderId="0" xfId="0" applyFont="1" applyFill="1"/>
    <xf numFmtId="3" fontId="31" fillId="0" borderId="0" xfId="0" applyNumberFormat="1" applyFont="1" applyFill="1"/>
    <xf numFmtId="169" fontId="31" fillId="0" borderId="0" xfId="28" applyNumberFormat="1" applyFont="1" applyFill="1"/>
    <xf numFmtId="3" fontId="35" fillId="0" borderId="0" xfId="0" applyNumberFormat="1" applyFont="1" applyFill="1" applyBorder="1" applyProtection="1">
      <protection locked="0"/>
    </xf>
    <xf numFmtId="3" fontId="31" fillId="0" borderId="0" xfId="28" applyNumberFormat="1" applyFont="1" applyFill="1"/>
    <xf numFmtId="3" fontId="35" fillId="0" borderId="17" xfId="28" applyNumberFormat="1" applyFont="1" applyFill="1" applyBorder="1" applyAlignment="1"/>
    <xf numFmtId="3" fontId="31" fillId="0" borderId="0" xfId="28" applyNumberFormat="1" applyFont="1" applyFill="1" applyBorder="1" applyAlignment="1">
      <alignment horizontal="right"/>
    </xf>
    <xf numFmtId="0" fontId="31" fillId="0" borderId="0" xfId="0" applyNumberFormat="1" applyFont="1" applyFill="1" applyBorder="1" applyProtection="1">
      <protection locked="0"/>
    </xf>
    <xf numFmtId="168" fontId="31" fillId="0" borderId="0" xfId="28" applyNumberFormat="1" applyFont="1" applyFill="1" applyBorder="1" applyAlignment="1"/>
    <xf numFmtId="3" fontId="31" fillId="0" borderId="0" xfId="0" applyNumberFormat="1" applyFont="1" applyFill="1" applyBorder="1" applyProtection="1">
      <protection locked="0"/>
    </xf>
    <xf numFmtId="3" fontId="31" fillId="0" borderId="0" xfId="28" applyNumberFormat="1" applyFont="1" applyFill="1" applyBorder="1" applyAlignment="1"/>
    <xf numFmtId="9" fontId="27" fillId="0" borderId="13" xfId="0" applyNumberFormat="1" applyFont="1" applyFill="1" applyBorder="1" applyAlignment="1">
      <alignment horizontal="right" wrapText="1"/>
    </xf>
    <xf numFmtId="9" fontId="28" fillId="0" borderId="10" xfId="0" applyNumberFormat="1" applyFont="1" applyFill="1" applyBorder="1" applyAlignment="1">
      <alignment horizontal="right" wrapText="1"/>
    </xf>
    <xf numFmtId="9" fontId="28" fillId="0" borderId="20" xfId="0" applyNumberFormat="1" applyFont="1" applyFill="1" applyBorder="1" applyAlignment="1">
      <alignment horizontal="right" wrapText="1"/>
    </xf>
    <xf numFmtId="9" fontId="27" fillId="0" borderId="12" xfId="0" applyNumberFormat="1" applyFont="1" applyFill="1" applyBorder="1" applyAlignment="1">
      <alignment horizontal="right" wrapText="1"/>
    </xf>
    <xf numFmtId="9" fontId="28" fillId="0" borderId="11" xfId="0" applyNumberFormat="1" applyFont="1" applyFill="1" applyBorder="1" applyAlignment="1">
      <alignment horizontal="right" wrapText="1"/>
    </xf>
    <xf numFmtId="3" fontId="55" fillId="0" borderId="0" xfId="28" applyNumberFormat="1" applyFont="1" applyFill="1" applyBorder="1" applyAlignment="1">
      <alignment horizontal="right"/>
    </xf>
    <xf numFmtId="3" fontId="55" fillId="0" borderId="0" xfId="0" applyNumberFormat="1" applyFont="1" applyFill="1"/>
    <xf numFmtId="3" fontId="59" fillId="28" borderId="50" xfId="0" applyNumberFormat="1" applyFont="1" applyFill="1" applyBorder="1" applyAlignment="1">
      <alignment horizontal="center" wrapText="1"/>
    </xf>
    <xf numFmtId="3" fontId="27" fillId="0" borderId="0" xfId="0" applyNumberFormat="1" applyFont="1" applyBorder="1" applyAlignment="1">
      <alignment horizontal="left" wrapText="1"/>
    </xf>
    <xf numFmtId="0" fontId="37" fillId="0" borderId="52" xfId="0" applyFont="1" applyFill="1" applyBorder="1" applyAlignment="1">
      <alignment horizontal="center" vertical="center" wrapText="1"/>
    </xf>
    <xf numFmtId="165" fontId="37" fillId="0" borderId="53" xfId="0" applyNumberFormat="1" applyFont="1" applyBorder="1"/>
    <xf numFmtId="165" fontId="3" fillId="25" borderId="54" xfId="0" applyNumberFormat="1" applyFont="1" applyFill="1" applyBorder="1" applyProtection="1">
      <protection locked="0"/>
    </xf>
    <xf numFmtId="165" fontId="3" fillId="25" borderId="55" xfId="0" applyNumberFormat="1" applyFont="1" applyFill="1" applyBorder="1" applyProtection="1">
      <protection locked="0"/>
    </xf>
    <xf numFmtId="0" fontId="60" fillId="0" borderId="0" xfId="0" applyFont="1"/>
    <xf numFmtId="168" fontId="1" fillId="0" borderId="0" xfId="0" applyNumberFormat="1" applyFont="1" applyBorder="1"/>
    <xf numFmtId="168" fontId="60" fillId="0" borderId="0" xfId="0" applyNumberFormat="1" applyFont="1" applyBorder="1"/>
    <xf numFmtId="168" fontId="3" fillId="0" borderId="0" xfId="0" applyNumberFormat="1" applyFont="1" applyFill="1"/>
    <xf numFmtId="3" fontId="28" fillId="0" borderId="0" xfId="0" applyNumberFormat="1" applyFont="1" applyFill="1" applyAlignment="1">
      <alignment wrapText="1"/>
    </xf>
    <xf numFmtId="3" fontId="27" fillId="26" borderId="13" xfId="0" applyNumberFormat="1" applyFont="1" applyFill="1" applyBorder="1" applyAlignment="1">
      <alignment wrapText="1"/>
    </xf>
    <xf numFmtId="0" fontId="46" fillId="0" borderId="12" xfId="0" applyFont="1" applyFill="1" applyBorder="1" applyAlignment="1">
      <alignment wrapText="1"/>
    </xf>
    <xf numFmtId="3" fontId="27" fillId="0" borderId="11" xfId="237" applyNumberFormat="1" applyFont="1" applyFill="1" applyBorder="1" applyAlignment="1">
      <alignment wrapText="1"/>
    </xf>
    <xf numFmtId="0" fontId="56" fillId="28" borderId="0" xfId="0" applyFont="1" applyFill="1" applyAlignment="1">
      <alignment horizontal="center"/>
    </xf>
    <xf numFmtId="3" fontId="28" fillId="0" borderId="13" xfId="0" applyNumberFormat="1" applyFont="1" applyFill="1" applyBorder="1" applyAlignment="1">
      <alignment wrapText="1"/>
    </xf>
    <xf numFmtId="3" fontId="28" fillId="0" borderId="13" xfId="0" applyNumberFormat="1" applyFont="1" applyFill="1" applyBorder="1" applyAlignment="1">
      <alignment horizontal="right" wrapText="1"/>
    </xf>
    <xf numFmtId="3" fontId="28" fillId="0" borderId="56" xfId="0" applyNumberFormat="1" applyFont="1" applyFill="1" applyBorder="1" applyAlignment="1">
      <alignment wrapText="1"/>
    </xf>
    <xf numFmtId="3" fontId="28" fillId="0" borderId="56" xfId="0" applyNumberFormat="1" applyFont="1" applyFill="1" applyBorder="1" applyAlignment="1">
      <alignment horizontal="right" wrapText="1"/>
    </xf>
    <xf numFmtId="3" fontId="28" fillId="0" borderId="57" xfId="0" applyNumberFormat="1" applyFont="1" applyBorder="1" applyAlignment="1">
      <alignment horizontal="right" wrapText="1"/>
    </xf>
    <xf numFmtId="3" fontId="28" fillId="0" borderId="11" xfId="82" applyNumberFormat="1" applyFont="1" applyFill="1" applyBorder="1" applyAlignment="1">
      <alignment horizontal="right"/>
    </xf>
    <xf numFmtId="3" fontId="31" fillId="0" borderId="24" xfId="0" applyNumberFormat="1" applyFont="1" applyFill="1" applyBorder="1" applyAlignment="1">
      <alignment horizontal="right"/>
    </xf>
    <xf numFmtId="3" fontId="27" fillId="0" borderId="0" xfId="0" applyNumberFormat="1" applyFont="1" applyFill="1" applyBorder="1" applyAlignment="1">
      <alignment wrapText="1"/>
    </xf>
    <xf numFmtId="3" fontId="35" fillId="0" borderId="17" xfId="0" applyNumberFormat="1" applyFont="1" applyFill="1" applyBorder="1"/>
    <xf numFmtId="3" fontId="31" fillId="0" borderId="0" xfId="0" applyNumberFormat="1" applyFont="1"/>
    <xf numFmtId="168" fontId="55" fillId="0" borderId="0" xfId="28" applyNumberFormat="1" applyFont="1" applyFill="1" applyBorder="1" applyAlignment="1">
      <alignment horizontal="right"/>
    </xf>
    <xf numFmtId="3" fontId="35" fillId="0" borderId="0" xfId="0" applyNumberFormat="1" applyFont="1" applyFill="1" applyBorder="1"/>
    <xf numFmtId="3" fontId="55" fillId="0" borderId="17" xfId="0" applyNumberFormat="1" applyFont="1" applyFill="1" applyBorder="1"/>
    <xf numFmtId="169" fontId="34" fillId="0" borderId="0" xfId="28" applyNumberFormat="1" applyFont="1" applyFill="1"/>
    <xf numFmtId="0" fontId="35" fillId="0" borderId="0" xfId="0" applyFont="1" applyFill="1"/>
    <xf numFmtId="3" fontId="27" fillId="0" borderId="0" xfId="0" applyNumberFormat="1" applyFont="1" applyBorder="1" applyAlignment="1">
      <alignment wrapText="1"/>
    </xf>
    <xf numFmtId="168" fontId="27" fillId="26" borderId="11" xfId="0" applyNumberFormat="1" applyFont="1" applyFill="1" applyBorder="1" applyAlignment="1">
      <alignment horizontal="right" wrapText="1"/>
    </xf>
    <xf numFmtId="9" fontId="27" fillId="26" borderId="11" xfId="0" applyNumberFormat="1" applyFont="1" applyFill="1" applyBorder="1" applyAlignment="1">
      <alignment horizontal="right" wrapText="1"/>
    </xf>
    <xf numFmtId="3" fontId="27" fillId="26" borderId="0" xfId="0" applyNumberFormat="1" applyFont="1" applyFill="1" applyBorder="1" applyAlignment="1">
      <alignment wrapText="1"/>
    </xf>
    <xf numFmtId="0" fontId="27" fillId="26" borderId="0" xfId="0" applyFont="1" applyFill="1" applyAlignment="1">
      <alignment wrapText="1"/>
    </xf>
    <xf numFmtId="3" fontId="28" fillId="26" borderId="0" xfId="0" applyNumberFormat="1" applyFont="1" applyFill="1" applyBorder="1" applyAlignment="1">
      <alignment vertical="top" wrapText="1"/>
    </xf>
    <xf numFmtId="3" fontId="27" fillId="26" borderId="0" xfId="0" applyNumberFormat="1" applyFont="1" applyFill="1" applyBorder="1" applyAlignment="1">
      <alignment vertical="top" wrapText="1"/>
    </xf>
    <xf numFmtId="3" fontId="27" fillId="26" borderId="0" xfId="0" applyNumberFormat="1" applyFont="1" applyFill="1" applyBorder="1" applyAlignment="1">
      <alignment horizontal="right" wrapText="1"/>
    </xf>
    <xf numFmtId="168" fontId="48" fillId="26" borderId="0" xfId="0" applyNumberFormat="1" applyFont="1" applyFill="1" applyBorder="1" applyAlignment="1">
      <alignment vertical="top" wrapText="1"/>
    </xf>
    <xf numFmtId="168" fontId="27" fillId="26" borderId="0" xfId="0" applyNumberFormat="1" applyFont="1" applyFill="1" applyBorder="1" applyAlignment="1">
      <alignment vertical="top" wrapText="1"/>
    </xf>
    <xf numFmtId="3" fontId="27" fillId="26" borderId="0" xfId="0" applyNumberFormat="1" applyFont="1" applyFill="1" applyBorder="1" applyAlignment="1">
      <alignment horizontal="right" vertical="top" wrapText="1"/>
    </xf>
    <xf numFmtId="0" fontId="27" fillId="26" borderId="58" xfId="0" applyFont="1" applyFill="1" applyBorder="1" applyAlignment="1">
      <alignment wrapText="1"/>
    </xf>
    <xf numFmtId="1" fontId="27" fillId="26" borderId="11" xfId="0" applyNumberFormat="1" applyFont="1" applyFill="1" applyBorder="1" applyAlignment="1">
      <alignment horizontal="center" vertical="top" wrapText="1"/>
    </xf>
    <xf numFmtId="0" fontId="27" fillId="26" borderId="11" xfId="239" applyFont="1" applyFill="1" applyBorder="1" applyAlignment="1">
      <alignment wrapText="1"/>
    </xf>
    <xf numFmtId="3" fontId="27" fillId="26" borderId="59" xfId="0" applyNumberFormat="1" applyFont="1" applyFill="1" applyBorder="1" applyAlignment="1">
      <alignment wrapText="1"/>
    </xf>
    <xf numFmtId="3" fontId="27" fillId="26" borderId="12" xfId="0" applyNumberFormat="1" applyFont="1" applyFill="1" applyBorder="1" applyAlignment="1">
      <alignment wrapText="1"/>
    </xf>
    <xf numFmtId="3" fontId="27" fillId="26" borderId="59" xfId="0" applyNumberFormat="1" applyFont="1" applyFill="1" applyBorder="1" applyAlignment="1">
      <alignment vertical="top" wrapText="1"/>
    </xf>
    <xf numFmtId="3" fontId="27" fillId="26" borderId="13" xfId="0" applyNumberFormat="1" applyFont="1" applyFill="1" applyBorder="1" applyAlignment="1">
      <alignment vertical="top" wrapText="1"/>
    </xf>
    <xf numFmtId="0" fontId="28" fillId="26" borderId="58" xfId="0" applyFont="1" applyFill="1" applyBorder="1" applyAlignment="1">
      <alignment vertical="top" wrapText="1"/>
    </xf>
    <xf numFmtId="0" fontId="28" fillId="26" borderId="11" xfId="0" applyFont="1" applyFill="1" applyBorder="1" applyAlignment="1">
      <alignment vertical="top" wrapText="1"/>
    </xf>
    <xf numFmtId="0" fontId="28" fillId="26" borderId="11" xfId="0" applyFont="1" applyFill="1" applyBorder="1" applyAlignment="1">
      <alignment horizontal="center" vertical="top" wrapText="1"/>
    </xf>
    <xf numFmtId="0" fontId="27" fillId="26" borderId="11" xfId="0" applyFont="1" applyFill="1" applyBorder="1" applyAlignment="1">
      <alignment horizontal="left" vertical="top" wrapText="1"/>
    </xf>
    <xf numFmtId="3" fontId="48" fillId="26" borderId="11" xfId="0" applyNumberFormat="1" applyFont="1" applyFill="1" applyBorder="1" applyAlignment="1">
      <alignment vertical="top" wrapText="1"/>
    </xf>
    <xf numFmtId="3" fontId="28" fillId="26" borderId="14" xfId="0" applyNumberFormat="1" applyFont="1" applyFill="1" applyBorder="1" applyAlignment="1">
      <alignment vertical="top" wrapText="1"/>
    </xf>
    <xf numFmtId="3" fontId="54" fillId="0" borderId="0" xfId="0" applyNumberFormat="1" applyFont="1"/>
    <xf numFmtId="0" fontId="27" fillId="26" borderId="60" xfId="0" applyFont="1" applyFill="1" applyBorder="1" applyAlignment="1">
      <alignment vertical="top" wrapText="1"/>
    </xf>
    <xf numFmtId="3" fontId="28" fillId="26" borderId="61" xfId="0" applyNumberFormat="1" applyFont="1" applyFill="1" applyBorder="1" applyAlignment="1">
      <alignment vertical="top" wrapText="1"/>
    </xf>
    <xf numFmtId="0" fontId="28" fillId="26" borderId="62" xfId="0" applyFont="1" applyFill="1" applyBorder="1" applyAlignment="1">
      <alignment vertical="top" wrapText="1"/>
    </xf>
    <xf numFmtId="0" fontId="28" fillId="26" borderId="60" xfId="0" applyFont="1" applyFill="1" applyBorder="1" applyAlignment="1">
      <alignment vertical="top" wrapText="1"/>
    </xf>
    <xf numFmtId="0" fontId="28" fillId="26" borderId="60" xfId="0" applyFont="1" applyFill="1" applyBorder="1" applyAlignment="1">
      <alignment horizontal="center" vertical="top" wrapText="1"/>
    </xf>
    <xf numFmtId="1" fontId="27" fillId="26" borderId="60" xfId="0" applyNumberFormat="1" applyFont="1" applyFill="1" applyBorder="1" applyAlignment="1">
      <alignment horizontal="center" vertical="top" wrapText="1"/>
    </xf>
    <xf numFmtId="0" fontId="27" fillId="26" borderId="60" xfId="0" applyFont="1" applyFill="1" applyBorder="1" applyAlignment="1">
      <alignment horizontal="left" vertical="top" wrapText="1"/>
    </xf>
    <xf numFmtId="3" fontId="48" fillId="26" borderId="60" xfId="0" applyNumberFormat="1" applyFont="1" applyFill="1" applyBorder="1" applyAlignment="1">
      <alignment vertical="top" wrapText="1"/>
    </xf>
    <xf numFmtId="3" fontId="27" fillId="26" borderId="60" xfId="0" applyNumberFormat="1" applyFont="1" applyFill="1" applyBorder="1" applyAlignment="1">
      <alignment vertical="top" wrapText="1"/>
    </xf>
    <xf numFmtId="3" fontId="27" fillId="26" borderId="63" xfId="0" applyNumberFormat="1" applyFont="1" applyFill="1" applyBorder="1" applyAlignment="1">
      <alignment vertical="top" wrapText="1"/>
    </xf>
    <xf numFmtId="0" fontId="28" fillId="0" borderId="0" xfId="0" applyFont="1" applyFill="1" applyBorder="1" applyAlignment="1">
      <alignment horizontal="center" wrapText="1"/>
    </xf>
    <xf numFmtId="0" fontId="28" fillId="0" borderId="0" xfId="0" applyFont="1" applyFill="1" applyBorder="1" applyAlignment="1"/>
    <xf numFmtId="9" fontId="28" fillId="0" borderId="0" xfId="0" applyNumberFormat="1" applyFont="1" applyFill="1" applyBorder="1" applyAlignment="1">
      <alignment horizontal="right" wrapText="1"/>
    </xf>
    <xf numFmtId="0" fontId="28" fillId="26" borderId="64" xfId="0" applyFont="1" applyFill="1" applyBorder="1" applyAlignment="1">
      <alignment vertical="top" wrapText="1"/>
    </xf>
    <xf numFmtId="0" fontId="28" fillId="26" borderId="65" xfId="0" applyFont="1" applyFill="1" applyBorder="1" applyAlignment="1">
      <alignment vertical="top" wrapText="1"/>
    </xf>
    <xf numFmtId="0" fontId="28" fillId="26" borderId="65" xfId="0" applyFont="1" applyFill="1" applyBorder="1" applyAlignment="1">
      <alignment horizontal="center" vertical="top" wrapText="1"/>
    </xf>
    <xf numFmtId="0" fontId="27" fillId="26" borderId="65" xfId="0" applyFont="1" applyFill="1" applyBorder="1" applyAlignment="1">
      <alignment vertical="top" wrapText="1"/>
    </xf>
    <xf numFmtId="1" fontId="27" fillId="26" borderId="65" xfId="0" applyNumberFormat="1" applyFont="1" applyFill="1" applyBorder="1" applyAlignment="1">
      <alignment horizontal="center" vertical="top" wrapText="1"/>
    </xf>
    <xf numFmtId="0" fontId="28" fillId="26" borderId="65" xfId="0" applyFont="1" applyFill="1" applyBorder="1" applyAlignment="1">
      <alignment horizontal="left" vertical="top" wrapText="1"/>
    </xf>
    <xf numFmtId="3" fontId="48" fillId="26" borderId="65" xfId="0" applyNumberFormat="1" applyFont="1" applyFill="1" applyBorder="1" applyAlignment="1">
      <alignment vertical="top" wrapText="1"/>
    </xf>
    <xf numFmtId="3" fontId="27" fillId="26" borderId="65" xfId="0" applyNumberFormat="1" applyFont="1" applyFill="1" applyBorder="1" applyAlignment="1">
      <alignment vertical="top" wrapText="1"/>
    </xf>
    <xf numFmtId="3" fontId="27" fillId="26" borderId="66" xfId="0" applyNumberFormat="1" applyFont="1" applyFill="1" applyBorder="1" applyAlignment="1">
      <alignment vertical="top" wrapText="1"/>
    </xf>
    <xf numFmtId="3" fontId="31" fillId="0" borderId="0" xfId="0" applyNumberFormat="1" applyFont="1" applyFill="1" applyBorder="1"/>
    <xf numFmtId="3" fontId="54" fillId="0" borderId="17" xfId="0" applyNumberFormat="1" applyFont="1" applyFill="1" applyBorder="1"/>
    <xf numFmtId="3" fontId="27" fillId="0" borderId="12" xfId="0" applyNumberFormat="1" applyFont="1" applyFill="1" applyBorder="1" applyAlignment="1">
      <alignment wrapText="1"/>
    </xf>
    <xf numFmtId="0" fontId="26" fillId="0" borderId="13" xfId="0" applyFont="1" applyFill="1" applyBorder="1" applyAlignment="1">
      <alignment horizontal="left" wrapText="1"/>
    </xf>
    <xf numFmtId="0" fontId="27" fillId="0" borderId="13" xfId="0" applyFont="1" applyFill="1" applyBorder="1" applyAlignment="1">
      <alignment horizontal="left" wrapText="1"/>
    </xf>
    <xf numFmtId="0" fontId="27" fillId="0" borderId="13" xfId="0" applyFont="1" applyFill="1" applyBorder="1" applyAlignment="1"/>
    <xf numFmtId="0" fontId="26" fillId="0" borderId="13" xfId="0" applyFont="1" applyFill="1" applyBorder="1" applyAlignment="1"/>
    <xf numFmtId="0" fontId="27" fillId="0" borderId="0" xfId="80" applyFont="1" applyFill="1" applyBorder="1" applyAlignment="1"/>
    <xf numFmtId="0" fontId="26" fillId="0" borderId="0" xfId="0" applyFont="1" applyFill="1" applyBorder="1" applyAlignment="1">
      <alignment horizontal="left" vertical="top" wrapText="1"/>
    </xf>
    <xf numFmtId="0" fontId="27" fillId="0" borderId="0" xfId="237" applyFont="1" applyFill="1" applyBorder="1" applyAlignment="1">
      <alignment horizontal="left" wrapText="1"/>
    </xf>
    <xf numFmtId="0" fontId="26" fillId="0" borderId="0" xfId="0" applyFont="1" applyFill="1" applyBorder="1" applyAlignment="1">
      <alignment vertical="top" wrapText="1"/>
    </xf>
    <xf numFmtId="0" fontId="26" fillId="0" borderId="0" xfId="0" applyFont="1" applyFill="1" applyBorder="1" applyAlignment="1"/>
    <xf numFmtId="0" fontId="26" fillId="0" borderId="0" xfId="0" applyFont="1" applyFill="1" applyBorder="1" applyAlignment="1">
      <alignment horizontal="left" wrapText="1"/>
    </xf>
    <xf numFmtId="0" fontId="28" fillId="0" borderId="16" xfId="0" applyFont="1" applyFill="1" applyBorder="1" applyAlignment="1"/>
    <xf numFmtId="0" fontId="27" fillId="0" borderId="67" xfId="0" applyFont="1" applyFill="1" applyBorder="1" applyAlignment="1">
      <alignment horizontal="center" wrapText="1"/>
    </xf>
    <xf numFmtId="1" fontId="27" fillId="0" borderId="11" xfId="237" applyNumberFormat="1" applyFont="1" applyFill="1" applyBorder="1" applyAlignment="1">
      <alignment horizontal="center" wrapText="1"/>
    </xf>
    <xf numFmtId="1" fontId="27" fillId="0" borderId="11" xfId="0" applyNumberFormat="1" applyFont="1" applyFill="1" applyBorder="1" applyAlignment="1">
      <alignment horizontal="center" vertical="top" wrapText="1"/>
    </xf>
    <xf numFmtId="1" fontId="27" fillId="0" borderId="11" xfId="80" applyNumberFormat="1" applyFont="1" applyFill="1" applyBorder="1" applyAlignment="1">
      <alignment horizontal="center" wrapText="1"/>
    </xf>
    <xf numFmtId="0" fontId="28" fillId="0" borderId="11" xfId="0" quotePrefix="1" applyFont="1" applyFill="1" applyBorder="1" applyAlignment="1">
      <alignment horizontal="center" wrapText="1"/>
    </xf>
    <xf numFmtId="0" fontId="28" fillId="26" borderId="11" xfId="0" applyFont="1" applyFill="1" applyBorder="1" applyAlignment="1">
      <alignment horizontal="center" wrapText="1"/>
    </xf>
    <xf numFmtId="0" fontId="28" fillId="0" borderId="0" xfId="0" applyFont="1" applyBorder="1" applyAlignment="1">
      <alignment horizontal="center" wrapText="1"/>
    </xf>
    <xf numFmtId="0" fontId="28" fillId="0" borderId="0" xfId="0" applyFont="1" applyAlignment="1">
      <alignment horizontal="center" wrapText="1"/>
    </xf>
    <xf numFmtId="0" fontId="27" fillId="0" borderId="13" xfId="0" applyFont="1" applyFill="1" applyBorder="1" applyAlignment="1">
      <alignment horizontal="center" wrapText="1"/>
    </xf>
    <xf numFmtId="167" fontId="27" fillId="0" borderId="13" xfId="0" applyNumberFormat="1" applyFont="1" applyFill="1" applyBorder="1" applyAlignment="1" applyProtection="1">
      <alignment horizontal="center" wrapText="1"/>
      <protection locked="0"/>
    </xf>
    <xf numFmtId="0" fontId="27" fillId="0" borderId="16" xfId="0" applyFont="1" applyFill="1" applyBorder="1" applyAlignment="1">
      <alignment horizontal="center" wrapText="1"/>
    </xf>
    <xf numFmtId="0" fontId="28" fillId="0" borderId="13" xfId="0" applyFont="1" applyFill="1" applyBorder="1" applyAlignment="1">
      <alignment horizontal="center" wrapText="1"/>
    </xf>
    <xf numFmtId="0" fontId="26" fillId="0" borderId="13" xfId="0" applyFont="1" applyFill="1" applyBorder="1" applyAlignment="1">
      <alignment horizontal="center" wrapText="1"/>
    </xf>
    <xf numFmtId="0" fontId="28" fillId="0" borderId="16" xfId="0" applyFont="1" applyFill="1" applyBorder="1" applyAlignment="1">
      <alignment horizontal="center" wrapText="1"/>
    </xf>
    <xf numFmtId="0" fontId="27" fillId="0" borderId="13" xfId="0" quotePrefix="1" applyFont="1" applyFill="1" applyBorder="1" applyAlignment="1">
      <alignment horizontal="center" wrapText="1"/>
    </xf>
    <xf numFmtId="167" fontId="27" fillId="0" borderId="13" xfId="0" quotePrefix="1" applyNumberFormat="1" applyFont="1" applyFill="1" applyBorder="1" applyAlignment="1" applyProtection="1">
      <alignment horizontal="center" wrapText="1"/>
      <protection locked="0"/>
    </xf>
    <xf numFmtId="0" fontId="27" fillId="26" borderId="12" xfId="0" applyFont="1" applyFill="1" applyBorder="1" applyAlignment="1">
      <alignment wrapText="1"/>
    </xf>
    <xf numFmtId="0" fontId="27" fillId="26" borderId="13" xfId="0" applyFont="1" applyFill="1" applyBorder="1" applyAlignment="1">
      <alignment horizontal="center" wrapText="1"/>
    </xf>
    <xf numFmtId="0" fontId="27" fillId="26" borderId="13" xfId="0" applyFont="1" applyFill="1" applyBorder="1" applyAlignment="1">
      <alignment wrapText="1"/>
    </xf>
    <xf numFmtId="0" fontId="27" fillId="26" borderId="11" xfId="237" applyFont="1" applyFill="1" applyBorder="1" applyAlignment="1">
      <alignment wrapText="1"/>
    </xf>
    <xf numFmtId="3" fontId="27" fillId="26" borderId="13" xfId="0" applyNumberFormat="1" applyFont="1" applyFill="1" applyBorder="1" applyAlignment="1">
      <alignment horizontal="right" wrapText="1"/>
    </xf>
    <xf numFmtId="3" fontId="27" fillId="26" borderId="0" xfId="0" applyNumberFormat="1" applyFont="1" applyFill="1" applyAlignment="1">
      <alignment wrapText="1"/>
    </xf>
    <xf numFmtId="0" fontId="27" fillId="26" borderId="13" xfId="0" quotePrefix="1" applyFont="1" applyFill="1" applyBorder="1" applyAlignment="1">
      <alignment horizontal="center" wrapText="1"/>
    </xf>
    <xf numFmtId="0" fontId="27" fillId="26" borderId="11" xfId="0" applyNumberFormat="1" applyFont="1" applyFill="1" applyBorder="1" applyAlignment="1" applyProtection="1">
      <alignment wrapText="1"/>
      <protection locked="0"/>
    </xf>
    <xf numFmtId="1" fontId="27" fillId="26" borderId="13" xfId="0" applyNumberFormat="1" applyFont="1" applyFill="1" applyBorder="1" applyAlignment="1">
      <alignment horizontal="center" wrapText="1"/>
    </xf>
    <xf numFmtId="1" fontId="27" fillId="26" borderId="11" xfId="80" applyNumberFormat="1" applyFont="1" applyFill="1" applyBorder="1" applyAlignment="1">
      <alignment horizontal="center" wrapText="1"/>
    </xf>
    <xf numFmtId="3" fontId="29" fillId="30" borderId="0" xfId="0" applyNumberFormat="1" applyFont="1" applyFill="1" applyAlignment="1">
      <alignment wrapText="1"/>
    </xf>
    <xf numFmtId="0" fontId="29" fillId="30" borderId="0" xfId="0" applyFont="1" applyFill="1" applyAlignment="1">
      <alignment wrapText="1"/>
    </xf>
    <xf numFmtId="3" fontId="29" fillId="30" borderId="0" xfId="0" applyNumberFormat="1" applyFont="1" applyFill="1" applyBorder="1" applyAlignment="1">
      <alignment horizontal="center" wrapText="1"/>
    </xf>
    <xf numFmtId="0" fontId="29" fillId="30" borderId="0" xfId="0" applyFont="1" applyFill="1" applyBorder="1" applyAlignment="1">
      <alignment horizontal="center" wrapText="1"/>
    </xf>
    <xf numFmtId="3" fontId="30" fillId="30" borderId="0" xfId="0" applyNumberFormat="1" applyFont="1" applyFill="1" applyAlignment="1">
      <alignment wrapText="1"/>
    </xf>
    <xf numFmtId="0" fontId="30" fillId="30" borderId="0" xfId="0" applyFont="1" applyFill="1" applyAlignment="1">
      <alignment wrapText="1"/>
    </xf>
    <xf numFmtId="0" fontId="26" fillId="30" borderId="0" xfId="0" applyFont="1" applyFill="1" applyAlignment="1">
      <alignment horizontal="center"/>
    </xf>
    <xf numFmtId="0" fontId="46" fillId="30" borderId="0" xfId="0" applyFont="1" applyFill="1" applyAlignment="1">
      <alignment horizontal="center"/>
    </xf>
    <xf numFmtId="3" fontId="26" fillId="30" borderId="0" xfId="0" applyNumberFormat="1" applyFont="1" applyFill="1" applyAlignment="1">
      <alignment horizontal="center"/>
    </xf>
    <xf numFmtId="168" fontId="26" fillId="30" borderId="0" xfId="0" applyNumberFormat="1" applyFont="1" applyFill="1" applyAlignment="1">
      <alignment horizontal="center"/>
    </xf>
    <xf numFmtId="3" fontId="26" fillId="30" borderId="0" xfId="0" applyNumberFormat="1" applyFont="1" applyFill="1" applyAlignment="1">
      <alignment horizontal="right"/>
    </xf>
    <xf numFmtId="0" fontId="26" fillId="30" borderId="0" xfId="0" applyFont="1" applyFill="1" applyAlignment="1">
      <alignment horizontal="right"/>
    </xf>
    <xf numFmtId="0" fontId="28" fillId="30" borderId="44" xfId="0" applyFont="1" applyFill="1" applyBorder="1" applyAlignment="1">
      <alignment wrapText="1"/>
    </xf>
    <xf numFmtId="0" fontId="28" fillId="30" borderId="45" xfId="0" applyFont="1" applyFill="1" applyBorder="1" applyAlignment="1">
      <alignment wrapText="1"/>
    </xf>
    <xf numFmtId="0" fontId="28" fillId="30" borderId="46" xfId="0" applyFont="1" applyFill="1" applyBorder="1" applyAlignment="1">
      <alignment wrapText="1"/>
    </xf>
    <xf numFmtId="0" fontId="28" fillId="30" borderId="47" xfId="0" applyFont="1" applyFill="1" applyBorder="1" applyAlignment="1">
      <alignment horizontal="center" wrapText="1"/>
    </xf>
    <xf numFmtId="0" fontId="28" fillId="30" borderId="48" xfId="0" applyFont="1" applyFill="1" applyBorder="1" applyAlignment="1">
      <alignment wrapText="1"/>
    </xf>
    <xf numFmtId="0" fontId="28" fillId="30" borderId="48" xfId="0" applyFont="1" applyFill="1" applyBorder="1" applyAlignment="1">
      <alignment horizontal="center" wrapText="1"/>
    </xf>
    <xf numFmtId="1" fontId="28" fillId="30" borderId="48" xfId="0" applyNumberFormat="1" applyFont="1" applyFill="1" applyBorder="1" applyAlignment="1">
      <alignment horizontal="center" wrapText="1"/>
    </xf>
    <xf numFmtId="1" fontId="28" fillId="30" borderId="49" xfId="0" applyNumberFormat="1" applyFont="1" applyFill="1" applyBorder="1" applyAlignment="1">
      <alignment horizontal="center" wrapText="1"/>
    </xf>
    <xf numFmtId="0" fontId="28" fillId="30" borderId="44" xfId="0" applyFont="1" applyFill="1" applyBorder="1" applyAlignment="1">
      <alignment horizontal="left" wrapText="1"/>
    </xf>
    <xf numFmtId="0" fontId="28" fillId="30" borderId="50" xfId="0" applyFont="1" applyFill="1" applyBorder="1" applyAlignment="1">
      <alignment horizontal="center" wrapText="1"/>
    </xf>
    <xf numFmtId="3" fontId="28" fillId="30" borderId="50" xfId="0" applyNumberFormat="1" applyFont="1" applyFill="1" applyBorder="1" applyAlignment="1">
      <alignment horizontal="center" wrapText="1"/>
    </xf>
    <xf numFmtId="3" fontId="28" fillId="30" borderId="51" xfId="0" applyNumberFormat="1" applyFont="1" applyFill="1" applyBorder="1" applyAlignment="1">
      <alignment horizontal="center" wrapText="1"/>
    </xf>
    <xf numFmtId="3" fontId="28" fillId="30" borderId="45" xfId="0" applyNumberFormat="1" applyFont="1" applyFill="1" applyBorder="1" applyAlignment="1">
      <alignment horizontal="center" wrapText="1"/>
    </xf>
    <xf numFmtId="168" fontId="28" fillId="30" borderId="50" xfId="0" applyNumberFormat="1" applyFont="1" applyFill="1" applyBorder="1" applyAlignment="1">
      <alignment horizontal="center" wrapText="1"/>
    </xf>
    <xf numFmtId="3" fontId="28" fillId="30" borderId="45" xfId="0" quotePrefix="1" applyNumberFormat="1" applyFont="1" applyFill="1" applyBorder="1" applyAlignment="1">
      <alignment horizontal="center" wrapText="1"/>
    </xf>
    <xf numFmtId="0" fontId="29" fillId="30" borderId="0" xfId="0" applyFont="1" applyFill="1" applyAlignment="1">
      <alignment horizontal="center"/>
    </xf>
    <xf numFmtId="0" fontId="52" fillId="28" borderId="24" xfId="0" quotePrefix="1" applyFont="1" applyFill="1" applyBorder="1" applyAlignment="1">
      <alignment horizontal="center" wrapText="1"/>
    </xf>
    <xf numFmtId="9" fontId="31" fillId="0" borderId="24" xfId="28" applyNumberFormat="1" applyFont="1" applyFill="1" applyBorder="1" applyAlignment="1">
      <alignment horizontal="right"/>
    </xf>
    <xf numFmtId="9" fontId="31" fillId="0" borderId="26" xfId="28" applyNumberFormat="1" applyFont="1" applyFill="1" applyBorder="1" applyAlignment="1">
      <alignment horizontal="right"/>
    </xf>
    <xf numFmtId="9" fontId="35" fillId="0" borderId="14" xfId="28" applyNumberFormat="1" applyFont="1" applyFill="1" applyBorder="1" applyAlignment="1">
      <alignment horizontal="right"/>
    </xf>
    <xf numFmtId="9" fontId="35" fillId="0" borderId="0" xfId="28" applyNumberFormat="1" applyFont="1" applyFill="1" applyBorder="1" applyAlignment="1">
      <alignment horizontal="right"/>
    </xf>
    <xf numFmtId="0" fontId="52" fillId="0" borderId="24" xfId="0" applyNumberFormat="1" applyFont="1" applyFill="1" applyBorder="1" applyProtection="1">
      <protection locked="0"/>
    </xf>
    <xf numFmtId="168" fontId="52" fillId="0" borderId="24" xfId="28" applyNumberFormat="1" applyFont="1" applyFill="1" applyBorder="1" applyAlignment="1">
      <alignment horizontal="center" wrapText="1"/>
    </xf>
    <xf numFmtId="0" fontId="52" fillId="0" borderId="24" xfId="0" applyFont="1" applyFill="1" applyBorder="1" applyAlignment="1">
      <alignment horizontal="center" wrapText="1"/>
    </xf>
    <xf numFmtId="0" fontId="52" fillId="0" borderId="24" xfId="0" quotePrefix="1" applyFont="1" applyFill="1" applyBorder="1" applyAlignment="1">
      <alignment horizontal="center" wrapText="1"/>
    </xf>
    <xf numFmtId="3" fontId="52" fillId="0" borderId="24" xfId="0" applyNumberFormat="1" applyFont="1" applyFill="1" applyBorder="1" applyAlignment="1">
      <alignment horizontal="center" wrapText="1"/>
    </xf>
    <xf numFmtId="3" fontId="53" fillId="0" borderId="24" xfId="0" applyNumberFormat="1" applyFont="1" applyFill="1" applyBorder="1" applyAlignment="1">
      <alignment horizontal="center" wrapText="1"/>
    </xf>
    <xf numFmtId="0" fontId="1" fillId="0" borderId="24" xfId="0" applyFont="1" applyFill="1" applyBorder="1" applyAlignment="1">
      <alignment wrapText="1"/>
    </xf>
    <xf numFmtId="0" fontId="50" fillId="0" borderId="24" xfId="0" applyNumberFormat="1" applyFont="1" applyFill="1" applyBorder="1" applyAlignment="1" applyProtection="1">
      <alignment horizontal="center"/>
      <protection locked="0"/>
    </xf>
    <xf numFmtId="0" fontId="50" fillId="28" borderId="0" xfId="0" applyNumberFormat="1" applyFont="1" applyFill="1" applyBorder="1" applyAlignment="1" applyProtection="1">
      <alignment horizontal="center"/>
      <protection locked="0"/>
    </xf>
    <xf numFmtId="0" fontId="31" fillId="0" borderId="11" xfId="0" applyNumberFormat="1" applyFont="1" applyBorder="1" applyProtection="1">
      <protection locked="0"/>
    </xf>
    <xf numFmtId="9" fontId="37" fillId="0" borderId="29" xfId="0" applyNumberFormat="1" applyFont="1" applyFill="1" applyBorder="1" applyProtection="1"/>
    <xf numFmtId="9" fontId="3" fillId="25" borderId="29" xfId="0" applyNumberFormat="1" applyFont="1" applyFill="1" applyBorder="1" applyAlignment="1">
      <alignment horizontal="right"/>
    </xf>
    <xf numFmtId="3" fontId="27" fillId="0" borderId="12" xfId="0" applyNumberFormat="1" applyFont="1" applyFill="1" applyBorder="1" applyAlignment="1">
      <alignment horizontal="center" wrapText="1"/>
    </xf>
    <xf numFmtId="3" fontId="28" fillId="0" borderId="15" xfId="0" applyNumberFormat="1" applyFont="1" applyFill="1" applyBorder="1" applyAlignment="1">
      <alignment horizontal="right" wrapText="1"/>
    </xf>
    <xf numFmtId="3" fontId="28" fillId="0" borderId="15" xfId="28" applyNumberFormat="1" applyFont="1" applyFill="1" applyBorder="1" applyAlignment="1">
      <alignment wrapText="1"/>
    </xf>
    <xf numFmtId="3" fontId="27" fillId="0" borderId="0" xfId="0" applyNumberFormat="1" applyFont="1" applyFill="1" applyBorder="1" applyAlignment="1">
      <alignment horizontal="right" wrapText="1"/>
    </xf>
    <xf numFmtId="3" fontId="28" fillId="0" borderId="15" xfId="0" applyNumberFormat="1" applyFont="1" applyFill="1" applyBorder="1" applyAlignment="1">
      <alignment wrapText="1"/>
    </xf>
    <xf numFmtId="3" fontId="28" fillId="30" borderId="68" xfId="0" quotePrefix="1" applyNumberFormat="1" applyFont="1" applyFill="1" applyBorder="1" applyAlignment="1">
      <alignment horizontal="center" wrapText="1"/>
    </xf>
    <xf numFmtId="3" fontId="27" fillId="0" borderId="13" xfId="0" applyNumberFormat="1" applyFont="1" applyFill="1" applyBorder="1" applyAlignment="1">
      <alignment horizontal="center" wrapText="1"/>
    </xf>
    <xf numFmtId="3" fontId="28" fillId="0" borderId="16" xfId="0" applyNumberFormat="1" applyFont="1" applyFill="1" applyBorder="1" applyAlignment="1">
      <alignment horizontal="right" wrapText="1"/>
    </xf>
    <xf numFmtId="3" fontId="28" fillId="0" borderId="16" xfId="28" applyNumberFormat="1" applyFont="1" applyFill="1" applyBorder="1" applyAlignment="1">
      <alignment wrapText="1"/>
    </xf>
    <xf numFmtId="3" fontId="28" fillId="0" borderId="16" xfId="0" applyNumberFormat="1" applyFont="1" applyFill="1" applyBorder="1" applyAlignment="1">
      <alignment wrapText="1"/>
    </xf>
    <xf numFmtId="3" fontId="28" fillId="30" borderId="65" xfId="0" applyNumberFormat="1" applyFont="1" applyFill="1" applyBorder="1" applyAlignment="1">
      <alignment horizontal="center" wrapText="1"/>
    </xf>
    <xf numFmtId="3" fontId="27" fillId="0" borderId="26" xfId="0" applyNumberFormat="1" applyFont="1" applyFill="1" applyBorder="1" applyAlignment="1">
      <alignment wrapText="1"/>
    </xf>
    <xf numFmtId="168" fontId="35" fillId="0" borderId="24" xfId="28" applyNumberFormat="1" applyFont="1" applyFill="1" applyBorder="1" applyAlignment="1">
      <alignment horizontal="right"/>
    </xf>
    <xf numFmtId="0" fontId="34" fillId="0" borderId="0" xfId="0" applyFont="1"/>
    <xf numFmtId="0" fontId="37" fillId="0" borderId="0" xfId="0" applyFont="1"/>
    <xf numFmtId="3" fontId="35" fillId="0" borderId="0" xfId="0" applyNumberFormat="1" applyFont="1"/>
    <xf numFmtId="165" fontId="37" fillId="25" borderId="29" xfId="0" applyNumberFormat="1" applyFont="1" applyFill="1" applyBorder="1" applyAlignment="1">
      <alignment horizontal="right"/>
    </xf>
    <xf numFmtId="9" fontId="37" fillId="25" borderId="29" xfId="0" applyNumberFormat="1" applyFont="1" applyFill="1" applyBorder="1" applyAlignment="1">
      <alignment horizontal="right"/>
    </xf>
    <xf numFmtId="9" fontId="37" fillId="0" borderId="31" xfId="675" applyFont="1" applyFill="1" applyBorder="1"/>
    <xf numFmtId="164" fontId="39" fillId="0" borderId="0" xfId="28" applyFont="1"/>
    <xf numFmtId="3" fontId="27" fillId="0" borderId="11" xfId="0" applyNumberFormat="1" applyFont="1" applyFill="1" applyBorder="1" applyAlignment="1">
      <alignment horizontal="left" wrapText="1"/>
    </xf>
    <xf numFmtId="3" fontId="27" fillId="0" borderId="13" xfId="0" applyNumberFormat="1" applyFont="1" applyFill="1" applyBorder="1" applyAlignment="1">
      <alignment horizontal="left" wrapText="1"/>
    </xf>
    <xf numFmtId="3" fontId="27" fillId="0" borderId="11" xfId="0" applyNumberFormat="1" applyFont="1" applyFill="1" applyBorder="1" applyAlignment="1">
      <alignment horizontal="left" vertical="center" wrapText="1"/>
    </xf>
    <xf numFmtId="3" fontId="27" fillId="0" borderId="11" xfId="0" applyNumberFormat="1" applyFont="1" applyFill="1" applyBorder="1" applyAlignment="1">
      <alignment vertical="center" wrapText="1"/>
    </xf>
    <xf numFmtId="3" fontId="27" fillId="31" borderId="11" xfId="0" applyNumberFormat="1" applyFont="1" applyFill="1" applyBorder="1" applyAlignment="1">
      <alignment vertical="center" wrapText="1"/>
    </xf>
    <xf numFmtId="3" fontId="27" fillId="31" borderId="11" xfId="0" applyNumberFormat="1" applyFont="1" applyFill="1" applyBorder="1" applyAlignment="1">
      <alignment horizontal="left" vertical="center" wrapText="1"/>
    </xf>
    <xf numFmtId="0" fontId="27" fillId="0" borderId="11" xfId="0" applyFont="1" applyFill="1" applyBorder="1" applyAlignment="1">
      <alignment horizontal="justify" vertical="center"/>
    </xf>
    <xf numFmtId="3" fontId="27" fillId="0" borderId="11" xfId="0" applyNumberFormat="1" applyFont="1" applyFill="1" applyBorder="1" applyAlignment="1">
      <alignment horizontal="left"/>
    </xf>
    <xf numFmtId="1" fontId="27" fillId="0" borderId="12" xfId="0" applyNumberFormat="1" applyFont="1" applyFill="1" applyBorder="1" applyAlignment="1">
      <alignment horizontal="center" wrapText="1"/>
    </xf>
    <xf numFmtId="0" fontId="27" fillId="0" borderId="13" xfId="237" applyFont="1" applyFill="1" applyBorder="1" applyAlignment="1">
      <alignment wrapText="1"/>
    </xf>
    <xf numFmtId="0" fontId="27" fillId="0" borderId="69" xfId="0" applyFont="1" applyFill="1" applyBorder="1" applyAlignment="1">
      <alignment horizontal="left" wrapText="1"/>
    </xf>
    <xf numFmtId="0" fontId="26" fillId="0" borderId="13" xfId="0" applyFont="1" applyFill="1" applyBorder="1" applyAlignment="1">
      <alignment wrapText="1"/>
    </xf>
    <xf numFmtId="0" fontId="27" fillId="0" borderId="70" xfId="0" applyFont="1" applyFill="1" applyBorder="1" applyAlignment="1">
      <alignment horizontal="left" wrapText="1"/>
    </xf>
    <xf numFmtId="0" fontId="27" fillId="0" borderId="11" xfId="0" applyFont="1" applyFill="1" applyBorder="1" applyAlignment="1">
      <alignment horizontal="justify"/>
    </xf>
    <xf numFmtId="0" fontId="29" fillId="30" borderId="0" xfId="0" applyFont="1" applyFill="1" applyAlignment="1">
      <alignment horizontal="center"/>
    </xf>
    <xf numFmtId="0" fontId="30" fillId="30" borderId="0" xfId="0" applyFont="1" applyFill="1" applyAlignment="1">
      <alignment horizontal="center"/>
    </xf>
    <xf numFmtId="3" fontId="30" fillId="30" borderId="0" xfId="0" applyNumberFormat="1" applyFont="1" applyFill="1" applyAlignment="1">
      <alignment horizontal="center"/>
    </xf>
    <xf numFmtId="0" fontId="30" fillId="0" borderId="0" xfId="0" applyFont="1" applyAlignment="1">
      <alignment horizontal="center"/>
    </xf>
    <xf numFmtId="0" fontId="56" fillId="28" borderId="0" xfId="0" applyFont="1" applyFill="1" applyAlignment="1">
      <alignment horizontal="center"/>
    </xf>
    <xf numFmtId="0" fontId="59" fillId="28" borderId="0" xfId="0" applyFont="1" applyFill="1" applyAlignment="1">
      <alignment horizontal="center"/>
    </xf>
    <xf numFmtId="3" fontId="59" fillId="28" borderId="0" xfId="0" applyNumberFormat="1" applyFont="1" applyFill="1" applyAlignment="1">
      <alignment horizontal="center"/>
    </xf>
    <xf numFmtId="0" fontId="27" fillId="0" borderId="0" xfId="0" applyFont="1" applyFill="1" applyAlignment="1">
      <alignment horizontal="justify" vertical="center"/>
    </xf>
  </cellXfs>
  <cellStyles count="676">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10" xfId="29"/>
    <cellStyle name="Comma 11" xfId="30"/>
    <cellStyle name="Comma 12" xfId="31"/>
    <cellStyle name="Comma 13" xfId="32"/>
    <cellStyle name="Comma 2" xfId="33"/>
    <cellStyle name="Comma 2 10" xfId="34"/>
    <cellStyle name="Comma 2 10 2" xfId="35"/>
    <cellStyle name="Comma 2 11" xfId="36"/>
    <cellStyle name="Comma 2 11 2" xfId="37"/>
    <cellStyle name="Comma 2 12" xfId="38"/>
    <cellStyle name="Comma 2 12 2" xfId="39"/>
    <cellStyle name="Comma 2 13" xfId="40"/>
    <cellStyle name="Comma 2 2" xfId="41"/>
    <cellStyle name="Comma 2 2 2" xfId="42"/>
    <cellStyle name="Comma 2 2 3" xfId="43"/>
    <cellStyle name="Comma 2 3" xfId="44"/>
    <cellStyle name="Comma 2 3 2" xfId="45"/>
    <cellStyle name="Comma 2 4" xfId="46"/>
    <cellStyle name="Comma 2 4 2" xfId="47"/>
    <cellStyle name="Comma 2 5" xfId="48"/>
    <cellStyle name="Comma 2 5 2" xfId="49"/>
    <cellStyle name="Comma 2 6" xfId="50"/>
    <cellStyle name="Comma 2 6 2" xfId="51"/>
    <cellStyle name="Comma 2 7" xfId="52"/>
    <cellStyle name="Comma 2 7 2" xfId="53"/>
    <cellStyle name="Comma 2 8" xfId="54"/>
    <cellStyle name="Comma 2 8 2" xfId="55"/>
    <cellStyle name="Comma 2 9" xfId="56"/>
    <cellStyle name="Comma 2 9 2" xfId="57"/>
    <cellStyle name="Comma 3" xfId="58"/>
    <cellStyle name="Comma 4" xfId="59"/>
    <cellStyle name="Comma 5" xfId="60"/>
    <cellStyle name="Comma 5 2" xfId="61"/>
    <cellStyle name="Comma 5 2 2" xfId="62"/>
    <cellStyle name="Comma 5 3" xfId="63"/>
    <cellStyle name="Comma 6" xfId="64"/>
    <cellStyle name="Comma 6 2" xfId="65"/>
    <cellStyle name="Comma 6 3" xfId="66"/>
    <cellStyle name="Explanatory Text 2" xfId="67"/>
    <cellStyle name="Good 2" xfId="68"/>
    <cellStyle name="Heading 1 2" xfId="69"/>
    <cellStyle name="Heading 2 2" xfId="70"/>
    <cellStyle name="Heading 3 2" xfId="71"/>
    <cellStyle name="Heading 4 2" xfId="72"/>
    <cellStyle name="Hyperlink 2" xfId="73"/>
    <cellStyle name="Input 2" xfId="74"/>
    <cellStyle name="Linked Cell 2" xfId="75"/>
    <cellStyle name="Neutral 2" xfId="76"/>
    <cellStyle name="Normal" xfId="0" builtinId="0"/>
    <cellStyle name="Normal 10" xfId="77"/>
    <cellStyle name="Normal 10 2" xfId="78"/>
    <cellStyle name="Normal 10 3" xfId="79"/>
    <cellStyle name="Normal 11" xfId="80"/>
    <cellStyle name="Normal 11 2" xfId="81"/>
    <cellStyle name="Normal 11 2 2" xfId="82"/>
    <cellStyle name="Normal 11 3" xfId="83"/>
    <cellStyle name="Normal 11 3 2" xfId="84"/>
    <cellStyle name="Normal 11 4" xfId="85"/>
    <cellStyle name="Normal 11 4 2" xfId="86"/>
    <cellStyle name="Normal 11 5" xfId="87"/>
    <cellStyle name="Normal 11 5 2" xfId="88"/>
    <cellStyle name="Normal 11 6" xfId="89"/>
    <cellStyle name="Normal 11 7" xfId="90"/>
    <cellStyle name="Normal 12" xfId="91"/>
    <cellStyle name="Normal 12 10" xfId="92"/>
    <cellStyle name="Normal 12 10 2" xfId="93"/>
    <cellStyle name="Normal 12 11" xfId="94"/>
    <cellStyle name="Normal 12 11 2" xfId="95"/>
    <cellStyle name="Normal 12 12" xfId="96"/>
    <cellStyle name="Normal 12 12 2" xfId="97"/>
    <cellStyle name="Normal 12 13" xfId="98"/>
    <cellStyle name="Normal 12 13 2" xfId="99"/>
    <cellStyle name="Normal 12 14" xfId="100"/>
    <cellStyle name="Normal 12 14 2" xfId="101"/>
    <cellStyle name="Normal 12 15" xfId="102"/>
    <cellStyle name="Normal 12 2" xfId="103"/>
    <cellStyle name="Normal 12 2 2" xfId="104"/>
    <cellStyle name="Normal 12 3" xfId="105"/>
    <cellStyle name="Normal 12 3 2" xfId="106"/>
    <cellStyle name="Normal 12 4" xfId="107"/>
    <cellStyle name="Normal 12 4 2" xfId="108"/>
    <cellStyle name="Normal 12 5" xfId="109"/>
    <cellStyle name="Normal 12 5 2" xfId="110"/>
    <cellStyle name="Normal 12 6" xfId="111"/>
    <cellStyle name="Normal 12 6 2" xfId="112"/>
    <cellStyle name="Normal 12 7" xfId="113"/>
    <cellStyle name="Normal 12 7 2" xfId="114"/>
    <cellStyle name="Normal 12 8" xfId="115"/>
    <cellStyle name="Normal 12 8 2" xfId="116"/>
    <cellStyle name="Normal 12 9" xfId="117"/>
    <cellStyle name="Normal 12 9 2" xfId="118"/>
    <cellStyle name="Normal 13" xfId="119"/>
    <cellStyle name="Normal 13 2" xfId="120"/>
    <cellStyle name="Normal 14" xfId="121"/>
    <cellStyle name="Normal 14 2" xfId="122"/>
    <cellStyle name="Normal 14 3" xfId="123"/>
    <cellStyle name="Normal 15" xfId="124"/>
    <cellStyle name="Normal 15 2" xfId="125"/>
    <cellStyle name="Normal 16" xfId="126"/>
    <cellStyle name="Normal 16 2" xfId="127"/>
    <cellStyle name="Normal 17" xfId="128"/>
    <cellStyle name="Normal 17 2" xfId="129"/>
    <cellStyle name="Normal 17 2 2" xfId="130"/>
    <cellStyle name="Normal 17 3" xfId="131"/>
    <cellStyle name="Normal 18" xfId="132"/>
    <cellStyle name="Normal 18 2" xfId="133"/>
    <cellStyle name="Normal 18 3" xfId="134"/>
    <cellStyle name="Normal 19" xfId="135"/>
    <cellStyle name="Normal 19 2" xfId="136"/>
    <cellStyle name="Normal 19 3" xfId="137"/>
    <cellStyle name="Normal 2" xfId="138"/>
    <cellStyle name="Normal 2 10" xfId="139"/>
    <cellStyle name="Normal 2 11" xfId="140"/>
    <cellStyle name="Normal 2 12" xfId="141"/>
    <cellStyle name="Normal 2 13" xfId="142"/>
    <cellStyle name="Normal 2 14" xfId="143"/>
    <cellStyle name="Normal 2 15" xfId="144"/>
    <cellStyle name="Normal 2 16" xfId="145"/>
    <cellStyle name="Normal 2 17" xfId="146"/>
    <cellStyle name="Normal 2 2" xfId="147"/>
    <cellStyle name="Normal 2 2 2" xfId="148"/>
    <cellStyle name="Normal 2 2 3" xfId="149"/>
    <cellStyle name="Normal 2 3" xfId="150"/>
    <cellStyle name="Normal 2 3 2" xfId="151"/>
    <cellStyle name="Normal 2 3 2 2" xfId="152"/>
    <cellStyle name="Normal 2 3 3" xfId="153"/>
    <cellStyle name="Normal 2 3 4" xfId="154"/>
    <cellStyle name="Normal 2 4" xfId="155"/>
    <cellStyle name="Normal 2 4 2" xfId="156"/>
    <cellStyle name="Normal 2 5" xfId="157"/>
    <cellStyle name="Normal 2 6" xfId="158"/>
    <cellStyle name="Normal 2 7" xfId="159"/>
    <cellStyle name="Normal 2 8" xfId="160"/>
    <cellStyle name="Normal 2 9" xfId="161"/>
    <cellStyle name="Normal 20" xfId="162"/>
    <cellStyle name="Normal 20 2" xfId="163"/>
    <cellStyle name="Normal 20 3" xfId="164"/>
    <cellStyle name="Normal 21" xfId="165"/>
    <cellStyle name="Normal 21 2" xfId="166"/>
    <cellStyle name="Normal 21 3" xfId="167"/>
    <cellStyle name="Normal 22" xfId="168"/>
    <cellStyle name="Normal 22 2" xfId="169"/>
    <cellStyle name="Normal 22 3" xfId="170"/>
    <cellStyle name="Normal 23" xfId="171"/>
    <cellStyle name="Normal 23 2" xfId="172"/>
    <cellStyle name="Normal 23 3" xfId="173"/>
    <cellStyle name="Normal 24" xfId="174"/>
    <cellStyle name="Normal 24 2" xfId="175"/>
    <cellStyle name="Normal 24 3" xfId="176"/>
    <cellStyle name="Normal 24 4" xfId="177"/>
    <cellStyle name="Normal 25" xfId="178"/>
    <cellStyle name="Normal 25 2" xfId="179"/>
    <cellStyle name="Normal 25 3" xfId="180"/>
    <cellStyle name="Normal 25 4" xfId="181"/>
    <cellStyle name="Normal 26" xfId="182"/>
    <cellStyle name="Normal 26 2" xfId="183"/>
    <cellStyle name="Normal 26 2 2" xfId="184"/>
    <cellStyle name="Normal 26 3" xfId="185"/>
    <cellStyle name="Normal 27" xfId="186"/>
    <cellStyle name="Normal 27 2" xfId="187"/>
    <cellStyle name="Normal 27 2 2" xfId="188"/>
    <cellStyle name="Normal 27 3" xfId="189"/>
    <cellStyle name="Normal 28" xfId="190"/>
    <cellStyle name="Normal 28 2" xfId="191"/>
    <cellStyle name="Normal 28 2 2" xfId="192"/>
    <cellStyle name="Normal 28 3" xfId="193"/>
    <cellStyle name="Normal 29" xfId="194"/>
    <cellStyle name="Normal 29 2" xfId="195"/>
    <cellStyle name="Normal 29 2 2" xfId="196"/>
    <cellStyle name="Normal 29 3" xfId="197"/>
    <cellStyle name="Normal 3" xfId="198"/>
    <cellStyle name="Normal 3 10" xfId="199"/>
    <cellStyle name="Normal 3 11" xfId="200"/>
    <cellStyle name="Normal 3 12" xfId="201"/>
    <cellStyle name="Normal 3 2" xfId="202"/>
    <cellStyle name="Normal 3 2 2" xfId="203"/>
    <cellStyle name="Normal 3 3" xfId="204"/>
    <cellStyle name="Normal 3 4" xfId="205"/>
    <cellStyle name="Normal 3 5" xfId="206"/>
    <cellStyle name="Normal 3 6" xfId="207"/>
    <cellStyle name="Normal 3 7" xfId="208"/>
    <cellStyle name="Normal 3 8" xfId="209"/>
    <cellStyle name="Normal 3 9" xfId="210"/>
    <cellStyle name="Normal 30" xfId="211"/>
    <cellStyle name="Normal 30 2" xfId="212"/>
    <cellStyle name="Normal 30 2 2" xfId="213"/>
    <cellStyle name="Normal 30 3" xfId="214"/>
    <cellStyle name="Normal 31" xfId="215"/>
    <cellStyle name="Normal 4" xfId="216"/>
    <cellStyle name="Normal 4 10" xfId="217"/>
    <cellStyle name="Normal 4 10 2" xfId="218"/>
    <cellStyle name="Normal 4 11" xfId="219"/>
    <cellStyle name="Normal 4 11 2" xfId="220"/>
    <cellStyle name="Normal 4 12" xfId="221"/>
    <cellStyle name="Normal 4 12 2" xfId="222"/>
    <cellStyle name="Normal 4 13" xfId="223"/>
    <cellStyle name="Normal 4 13 2" xfId="224"/>
    <cellStyle name="Normal 4 14" xfId="225"/>
    <cellStyle name="Normal 4 14 2" xfId="226"/>
    <cellStyle name="Normal 4 15" xfId="227"/>
    <cellStyle name="Normal 4 15 2" xfId="228"/>
    <cellStyle name="Normal 4 16" xfId="229"/>
    <cellStyle name="Normal 4 16 2" xfId="230"/>
    <cellStyle name="Normal 4 17" xfId="231"/>
    <cellStyle name="Normal 4 17 2" xfId="232"/>
    <cellStyle name="Normal 4 18" xfId="233"/>
    <cellStyle name="Normal 4 18 2" xfId="234"/>
    <cellStyle name="Normal 4 19" xfId="235"/>
    <cellStyle name="Normal 4 19 2" xfId="236"/>
    <cellStyle name="Normal 4 2" xfId="237"/>
    <cellStyle name="Normal 4 2 10" xfId="238"/>
    <cellStyle name="Normal 4 2 10 2" xfId="239"/>
    <cellStyle name="Normal 4 2 11" xfId="240"/>
    <cellStyle name="Normal 4 2 11 2" xfId="241"/>
    <cellStyle name="Normal 4 2 12" xfId="242"/>
    <cellStyle name="Normal 4 2 12 2" xfId="243"/>
    <cellStyle name="Normal 4 2 13" xfId="244"/>
    <cellStyle name="Normal 4 2 13 2" xfId="245"/>
    <cellStyle name="Normal 4 2 14" xfId="246"/>
    <cellStyle name="Normal 4 2 14 2" xfId="247"/>
    <cellStyle name="Normal 4 2 15" xfId="248"/>
    <cellStyle name="Normal 4 2 15 2" xfId="249"/>
    <cellStyle name="Normal 4 2 16" xfId="250"/>
    <cellStyle name="Normal 4 2 16 2" xfId="251"/>
    <cellStyle name="Normal 4 2 17" xfId="252"/>
    <cellStyle name="Normal 4 2 17 2" xfId="253"/>
    <cellStyle name="Normal 4 2 18" xfId="254"/>
    <cellStyle name="Normal 4 2 2" xfId="255"/>
    <cellStyle name="Normal 4 2 2 2" xfId="256"/>
    <cellStyle name="Normal 4 2 3" xfId="257"/>
    <cellStyle name="Normal 4 2 3 2" xfId="258"/>
    <cellStyle name="Normal 4 2 4" xfId="259"/>
    <cellStyle name="Normal 4 2 4 2" xfId="260"/>
    <cellStyle name="Normal 4 2 5" xfId="261"/>
    <cellStyle name="Normal 4 2 5 2" xfId="262"/>
    <cellStyle name="Normal 4 2 6" xfId="263"/>
    <cellStyle name="Normal 4 2 6 2" xfId="264"/>
    <cellStyle name="Normal 4 2 7" xfId="265"/>
    <cellStyle name="Normal 4 2 7 2" xfId="266"/>
    <cellStyle name="Normal 4 2 8" xfId="267"/>
    <cellStyle name="Normal 4 2 8 2" xfId="268"/>
    <cellStyle name="Normal 4 2 9" xfId="269"/>
    <cellStyle name="Normal 4 2 9 2" xfId="270"/>
    <cellStyle name="Normal 4 20" xfId="271"/>
    <cellStyle name="Normal 4 20 2" xfId="272"/>
    <cellStyle name="Normal 4 21" xfId="273"/>
    <cellStyle name="Normal 4 21 2" xfId="274"/>
    <cellStyle name="Normal 4 22" xfId="275"/>
    <cellStyle name="Normal 4 22 2" xfId="276"/>
    <cellStyle name="Normal 4 23" xfId="277"/>
    <cellStyle name="Normal 4 23 2" xfId="278"/>
    <cellStyle name="Normal 4 24" xfId="279"/>
    <cellStyle name="Normal 4 3" xfId="280"/>
    <cellStyle name="Normal 4 3 10" xfId="281"/>
    <cellStyle name="Normal 4 3 10 2" xfId="282"/>
    <cellStyle name="Normal 4 3 11" xfId="283"/>
    <cellStyle name="Normal 4 3 11 2" xfId="284"/>
    <cellStyle name="Normal 4 3 12" xfId="285"/>
    <cellStyle name="Normal 4 3 12 2" xfId="286"/>
    <cellStyle name="Normal 4 3 13" xfId="287"/>
    <cellStyle name="Normal 4 3 13 2" xfId="288"/>
    <cellStyle name="Normal 4 3 14" xfId="289"/>
    <cellStyle name="Normal 4 3 14 2" xfId="290"/>
    <cellStyle name="Normal 4 3 15" xfId="291"/>
    <cellStyle name="Normal 4 3 15 2" xfId="292"/>
    <cellStyle name="Normal 4 3 16" xfId="293"/>
    <cellStyle name="Normal 4 3 16 2" xfId="294"/>
    <cellStyle name="Normal 4 3 17" xfId="295"/>
    <cellStyle name="Normal 4 3 17 2" xfId="296"/>
    <cellStyle name="Normal 4 3 18" xfId="297"/>
    <cellStyle name="Normal 4 3 2" xfId="298"/>
    <cellStyle name="Normal 4 3 2 2" xfId="299"/>
    <cellStyle name="Normal 4 3 3" xfId="300"/>
    <cellStyle name="Normal 4 3 3 2" xfId="301"/>
    <cellStyle name="Normal 4 3 4" xfId="302"/>
    <cellStyle name="Normal 4 3 4 2" xfId="303"/>
    <cellStyle name="Normal 4 3 5" xfId="304"/>
    <cellStyle name="Normal 4 3 5 2" xfId="305"/>
    <cellStyle name="Normal 4 3 6" xfId="306"/>
    <cellStyle name="Normal 4 3 6 2" xfId="307"/>
    <cellStyle name="Normal 4 3 7" xfId="308"/>
    <cellStyle name="Normal 4 3 7 2" xfId="309"/>
    <cellStyle name="Normal 4 3 8" xfId="310"/>
    <cellStyle name="Normal 4 3 8 2" xfId="311"/>
    <cellStyle name="Normal 4 3 9" xfId="312"/>
    <cellStyle name="Normal 4 3 9 2" xfId="313"/>
    <cellStyle name="Normal 4 4" xfId="314"/>
    <cellStyle name="Normal 4 4 10" xfId="315"/>
    <cellStyle name="Normal 4 4 10 2" xfId="316"/>
    <cellStyle name="Normal 4 4 11" xfId="317"/>
    <cellStyle name="Normal 4 4 11 2" xfId="318"/>
    <cellStyle name="Normal 4 4 12" xfId="319"/>
    <cellStyle name="Normal 4 4 12 2" xfId="320"/>
    <cellStyle name="Normal 4 4 13" xfId="321"/>
    <cellStyle name="Normal 4 4 13 2" xfId="322"/>
    <cellStyle name="Normal 4 4 14" xfId="323"/>
    <cellStyle name="Normal 4 4 14 2" xfId="324"/>
    <cellStyle name="Normal 4 4 15" xfId="325"/>
    <cellStyle name="Normal 4 4 15 2" xfId="326"/>
    <cellStyle name="Normal 4 4 16" xfId="327"/>
    <cellStyle name="Normal 4 4 16 2" xfId="328"/>
    <cellStyle name="Normal 4 4 17" xfId="329"/>
    <cellStyle name="Normal 4 4 17 2" xfId="330"/>
    <cellStyle name="Normal 4 4 18" xfId="331"/>
    <cellStyle name="Normal 4 4 2" xfId="332"/>
    <cellStyle name="Normal 4 4 2 2" xfId="333"/>
    <cellStyle name="Normal 4 4 3" xfId="334"/>
    <cellStyle name="Normal 4 4 3 2" xfId="335"/>
    <cellStyle name="Normal 4 4 4" xfId="336"/>
    <cellStyle name="Normal 4 4 4 2" xfId="337"/>
    <cellStyle name="Normal 4 4 5" xfId="338"/>
    <cellStyle name="Normal 4 4 5 2" xfId="339"/>
    <cellStyle name="Normal 4 4 6" xfId="340"/>
    <cellStyle name="Normal 4 4 6 2" xfId="341"/>
    <cellStyle name="Normal 4 4 7" xfId="342"/>
    <cellStyle name="Normal 4 4 7 2" xfId="343"/>
    <cellStyle name="Normal 4 4 8" xfId="344"/>
    <cellStyle name="Normal 4 4 8 2" xfId="345"/>
    <cellStyle name="Normal 4 4 9" xfId="346"/>
    <cellStyle name="Normal 4 4 9 2" xfId="347"/>
    <cellStyle name="Normal 4 5" xfId="348"/>
    <cellStyle name="Normal 4 5 2" xfId="349"/>
    <cellStyle name="Normal 4 6" xfId="350"/>
    <cellStyle name="Normal 4 6 2" xfId="351"/>
    <cellStyle name="Normal 4 7" xfId="352"/>
    <cellStyle name="Normal 4 7 2" xfId="353"/>
    <cellStyle name="Normal 4 8" xfId="354"/>
    <cellStyle name="Normal 4 8 2" xfId="355"/>
    <cellStyle name="Normal 4 9" xfId="356"/>
    <cellStyle name="Normal 4 9 2" xfId="357"/>
    <cellStyle name="Normal 5" xfId="358"/>
    <cellStyle name="Normal 5 2" xfId="359"/>
    <cellStyle name="Normal 5 2 2" xfId="360"/>
    <cellStyle name="Normal 5 2 2 2" xfId="361"/>
    <cellStyle name="Normal 5 2 2 3" xfId="362"/>
    <cellStyle name="Normal 5 2 3" xfId="363"/>
    <cellStyle name="Normal 5 3" xfId="364"/>
    <cellStyle name="Normal 5 4" xfId="365"/>
    <cellStyle name="Normal 5 5" xfId="366"/>
    <cellStyle name="Normal 5 6" xfId="367"/>
    <cellStyle name="Normal 5 6 2" xfId="368"/>
    <cellStyle name="Normal 5 6 3" xfId="369"/>
    <cellStyle name="Normal 5 7" xfId="370"/>
    <cellStyle name="Normal 6" xfId="371"/>
    <cellStyle name="Normal 6 2" xfId="372"/>
    <cellStyle name="Normal 6 2 2" xfId="373"/>
    <cellStyle name="Normal 6 2 3" xfId="374"/>
    <cellStyle name="Normal 6 3" xfId="375"/>
    <cellStyle name="Normal 7" xfId="376"/>
    <cellStyle name="Normal 7 2" xfId="377"/>
    <cellStyle name="Normal 7 3" xfId="378"/>
    <cellStyle name="Normal 8" xfId="379"/>
    <cellStyle name="Normal 8 10" xfId="380"/>
    <cellStyle name="Normal 8 10 2" xfId="381"/>
    <cellStyle name="Normal 8 11" xfId="382"/>
    <cellStyle name="Normal 8 11 2" xfId="383"/>
    <cellStyle name="Normal 8 12" xfId="384"/>
    <cellStyle name="Normal 8 12 2" xfId="385"/>
    <cellStyle name="Normal 8 13" xfId="386"/>
    <cellStyle name="Normal 8 13 2" xfId="387"/>
    <cellStyle name="Normal 8 14" xfId="388"/>
    <cellStyle name="Normal 8 14 2" xfId="389"/>
    <cellStyle name="Normal 8 15" xfId="390"/>
    <cellStyle name="Normal 8 15 2" xfId="391"/>
    <cellStyle name="Normal 8 16" xfId="392"/>
    <cellStyle name="Normal 8 16 2" xfId="393"/>
    <cellStyle name="Normal 8 17" xfId="394"/>
    <cellStyle name="Normal 8 17 2" xfId="395"/>
    <cellStyle name="Normal 8 18" xfId="396"/>
    <cellStyle name="Normal 8 18 2" xfId="397"/>
    <cellStyle name="Normal 8 19" xfId="398"/>
    <cellStyle name="Normal 8 19 2" xfId="399"/>
    <cellStyle name="Normal 8 2" xfId="400"/>
    <cellStyle name="Normal 8 2 2" xfId="401"/>
    <cellStyle name="Normal 8 2 3" xfId="402"/>
    <cellStyle name="Normal 8 20" xfId="403"/>
    <cellStyle name="Normal 8 20 2" xfId="404"/>
    <cellStyle name="Normal 8 21" xfId="405"/>
    <cellStyle name="Normal 8 21 2" xfId="406"/>
    <cellStyle name="Normal 8 22" xfId="407"/>
    <cellStyle name="Normal 8 22 2" xfId="408"/>
    <cellStyle name="Normal 8 23" xfId="409"/>
    <cellStyle name="Normal 8 3" xfId="410"/>
    <cellStyle name="Normal 8 3 2" xfId="411"/>
    <cellStyle name="Normal 8 4" xfId="412"/>
    <cellStyle name="Normal 8 4 2" xfId="413"/>
    <cellStyle name="Normal 8 5" xfId="414"/>
    <cellStyle name="Normal 8 5 2" xfId="415"/>
    <cellStyle name="Normal 8 6" xfId="416"/>
    <cellStyle name="Normal 8 6 2" xfId="417"/>
    <cellStyle name="Normal 8 7" xfId="418"/>
    <cellStyle name="Normal 8 7 2" xfId="419"/>
    <cellStyle name="Normal 8 8" xfId="420"/>
    <cellStyle name="Normal 8 8 2" xfId="421"/>
    <cellStyle name="Normal 8 9" xfId="422"/>
    <cellStyle name="Normal 8 9 2" xfId="423"/>
    <cellStyle name="Normal 9" xfId="424"/>
    <cellStyle name="Normal 9 2" xfId="425"/>
    <cellStyle name="Normal 9 3" xfId="426"/>
    <cellStyle name="Note 2" xfId="427"/>
    <cellStyle name="Note 2 2" xfId="428"/>
    <cellStyle name="Note 2 3" xfId="429"/>
    <cellStyle name="Output 2" xfId="430"/>
    <cellStyle name="Percent" xfId="675" builtinId="5"/>
    <cellStyle name="Percent 10" xfId="431"/>
    <cellStyle name="Percent 10 2" xfId="432"/>
    <cellStyle name="Percent 10 2 10" xfId="433"/>
    <cellStyle name="Percent 10 2 11" xfId="434"/>
    <cellStyle name="Percent 10 2 12" xfId="435"/>
    <cellStyle name="Percent 10 2 13" xfId="436"/>
    <cellStyle name="Percent 10 2 14" xfId="437"/>
    <cellStyle name="Percent 10 2 2" xfId="438"/>
    <cellStyle name="Percent 10 2 3" xfId="439"/>
    <cellStyle name="Percent 10 2 4" xfId="440"/>
    <cellStyle name="Percent 10 2 5" xfId="441"/>
    <cellStyle name="Percent 10 2 6" xfId="442"/>
    <cellStyle name="Percent 10 2 7" xfId="443"/>
    <cellStyle name="Percent 10 2 8" xfId="444"/>
    <cellStyle name="Percent 10 2 9" xfId="445"/>
    <cellStyle name="Percent 10 3" xfId="446"/>
    <cellStyle name="Percent 11" xfId="447"/>
    <cellStyle name="Percent 2" xfId="448"/>
    <cellStyle name="Percent 2 10" xfId="449"/>
    <cellStyle name="Percent 2 10 2" xfId="450"/>
    <cellStyle name="Percent 2 11" xfId="451"/>
    <cellStyle name="Percent 2 11 2" xfId="452"/>
    <cellStyle name="Percent 2 12" xfId="453"/>
    <cellStyle name="Percent 2 12 2" xfId="454"/>
    <cellStyle name="Percent 2 13" xfId="455"/>
    <cellStyle name="Percent 2 13 2" xfId="456"/>
    <cellStyle name="Percent 2 14" xfId="457"/>
    <cellStyle name="Percent 2 14 2" xfId="458"/>
    <cellStyle name="Percent 2 15" xfId="459"/>
    <cellStyle name="Percent 2 2" xfId="460"/>
    <cellStyle name="Percent 2 2 2" xfId="461"/>
    <cellStyle name="Percent 2 3" xfId="462"/>
    <cellStyle name="Percent 2 3 2" xfId="463"/>
    <cellStyle name="Percent 2 4" xfId="464"/>
    <cellStyle name="Percent 2 4 2" xfId="465"/>
    <cellStyle name="Percent 2 5" xfId="466"/>
    <cellStyle name="Percent 2 5 2" xfId="467"/>
    <cellStyle name="Percent 2 6" xfId="468"/>
    <cellStyle name="Percent 2 6 2" xfId="469"/>
    <cellStyle name="Percent 2 7" xfId="470"/>
    <cellStyle name="Percent 2 7 2" xfId="471"/>
    <cellStyle name="Percent 2 8" xfId="472"/>
    <cellStyle name="Percent 2 8 2" xfId="473"/>
    <cellStyle name="Percent 2 9" xfId="474"/>
    <cellStyle name="Percent 2 9 2" xfId="475"/>
    <cellStyle name="Percent 3" xfId="476"/>
    <cellStyle name="Percent 3 10" xfId="477"/>
    <cellStyle name="Percent 3 10 2" xfId="478"/>
    <cellStyle name="Percent 3 11" xfId="479"/>
    <cellStyle name="Percent 3 11 2" xfId="480"/>
    <cellStyle name="Percent 3 12" xfId="481"/>
    <cellStyle name="Percent 3 12 2" xfId="482"/>
    <cellStyle name="Percent 3 13" xfId="483"/>
    <cellStyle name="Percent 3 13 2" xfId="484"/>
    <cellStyle name="Percent 3 14" xfId="485"/>
    <cellStyle name="Percent 3 14 2" xfId="486"/>
    <cellStyle name="Percent 3 15" xfId="487"/>
    <cellStyle name="Percent 3 2" xfId="488"/>
    <cellStyle name="Percent 3 2 2" xfId="489"/>
    <cellStyle name="Percent 3 3" xfId="490"/>
    <cellStyle name="Percent 3 3 2" xfId="491"/>
    <cellStyle name="Percent 3 4" xfId="492"/>
    <cellStyle name="Percent 3 4 2" xfId="493"/>
    <cellStyle name="Percent 3 5" xfId="494"/>
    <cellStyle name="Percent 3 5 2" xfId="495"/>
    <cellStyle name="Percent 3 6" xfId="496"/>
    <cellStyle name="Percent 3 6 2" xfId="497"/>
    <cellStyle name="Percent 3 7" xfId="498"/>
    <cellStyle name="Percent 3 7 2" xfId="499"/>
    <cellStyle name="Percent 3 8" xfId="500"/>
    <cellStyle name="Percent 3 8 2" xfId="501"/>
    <cellStyle name="Percent 3 9" xfId="502"/>
    <cellStyle name="Percent 3 9 2" xfId="503"/>
    <cellStyle name="Percent 4" xfId="504"/>
    <cellStyle name="Percent 4 10" xfId="505"/>
    <cellStyle name="Percent 4 10 2" xfId="506"/>
    <cellStyle name="Percent 4 11" xfId="507"/>
    <cellStyle name="Percent 4 11 2" xfId="508"/>
    <cellStyle name="Percent 4 12" xfId="509"/>
    <cellStyle name="Percent 4 12 2" xfId="510"/>
    <cellStyle name="Percent 4 13" xfId="511"/>
    <cellStyle name="Percent 4 13 2" xfId="512"/>
    <cellStyle name="Percent 4 14" xfId="513"/>
    <cellStyle name="Percent 4 14 2" xfId="514"/>
    <cellStyle name="Percent 4 15" xfId="515"/>
    <cellStyle name="Percent 4 2" xfId="516"/>
    <cellStyle name="Percent 4 2 2" xfId="517"/>
    <cellStyle name="Percent 4 3" xfId="518"/>
    <cellStyle name="Percent 4 3 2" xfId="519"/>
    <cellStyle name="Percent 4 4" xfId="520"/>
    <cellStyle name="Percent 4 4 2" xfId="521"/>
    <cellStyle name="Percent 4 5" xfId="522"/>
    <cellStyle name="Percent 4 5 2" xfId="523"/>
    <cellStyle name="Percent 4 6" xfId="524"/>
    <cellStyle name="Percent 4 6 2" xfId="525"/>
    <cellStyle name="Percent 4 7" xfId="526"/>
    <cellStyle name="Percent 4 7 2" xfId="527"/>
    <cellStyle name="Percent 4 8" xfId="528"/>
    <cellStyle name="Percent 4 8 2" xfId="529"/>
    <cellStyle name="Percent 4 9" xfId="530"/>
    <cellStyle name="Percent 4 9 2" xfId="531"/>
    <cellStyle name="Percent 5" xfId="532"/>
    <cellStyle name="Percent 5 10" xfId="533"/>
    <cellStyle name="Percent 5 10 2" xfId="534"/>
    <cellStyle name="Percent 5 11" xfId="535"/>
    <cellStyle name="Percent 5 11 2" xfId="536"/>
    <cellStyle name="Percent 5 12" xfId="537"/>
    <cellStyle name="Percent 5 12 2" xfId="538"/>
    <cellStyle name="Percent 5 13" xfId="539"/>
    <cellStyle name="Percent 5 13 2" xfId="540"/>
    <cellStyle name="Percent 5 14" xfId="541"/>
    <cellStyle name="Percent 5 14 2" xfId="542"/>
    <cellStyle name="Percent 5 15" xfId="543"/>
    <cellStyle name="Percent 5 2" xfId="544"/>
    <cellStyle name="Percent 5 2 2" xfId="545"/>
    <cellStyle name="Percent 5 3" xfId="546"/>
    <cellStyle name="Percent 5 3 2" xfId="547"/>
    <cellStyle name="Percent 5 4" xfId="548"/>
    <cellStyle name="Percent 5 4 2" xfId="549"/>
    <cellStyle name="Percent 5 5" xfId="550"/>
    <cellStyle name="Percent 5 5 2" xfId="551"/>
    <cellStyle name="Percent 5 6" xfId="552"/>
    <cellStyle name="Percent 5 6 2" xfId="553"/>
    <cellStyle name="Percent 5 7" xfId="554"/>
    <cellStyle name="Percent 5 7 2" xfId="555"/>
    <cellStyle name="Percent 5 8" xfId="556"/>
    <cellStyle name="Percent 5 8 2" xfId="557"/>
    <cellStyle name="Percent 5 9" xfId="558"/>
    <cellStyle name="Percent 5 9 2" xfId="559"/>
    <cellStyle name="Percent 6" xfId="560"/>
    <cellStyle name="Percent 6 10" xfId="561"/>
    <cellStyle name="Percent 6 10 2" xfId="562"/>
    <cellStyle name="Percent 6 11" xfId="563"/>
    <cellStyle name="Percent 6 11 2" xfId="564"/>
    <cellStyle name="Percent 6 12" xfId="565"/>
    <cellStyle name="Percent 6 12 2" xfId="566"/>
    <cellStyle name="Percent 6 13" xfId="567"/>
    <cellStyle name="Percent 6 13 2" xfId="568"/>
    <cellStyle name="Percent 6 14" xfId="569"/>
    <cellStyle name="Percent 6 14 2" xfId="570"/>
    <cellStyle name="Percent 6 15" xfId="571"/>
    <cellStyle name="Percent 6 2" xfId="572"/>
    <cellStyle name="Percent 6 2 2" xfId="573"/>
    <cellStyle name="Percent 6 3" xfId="574"/>
    <cellStyle name="Percent 6 3 2" xfId="575"/>
    <cellStyle name="Percent 6 4" xfId="576"/>
    <cellStyle name="Percent 6 4 2" xfId="577"/>
    <cellStyle name="Percent 6 5" xfId="578"/>
    <cellStyle name="Percent 6 5 2" xfId="579"/>
    <cellStyle name="Percent 6 6" xfId="580"/>
    <cellStyle name="Percent 6 6 2" xfId="581"/>
    <cellStyle name="Percent 6 7" xfId="582"/>
    <cellStyle name="Percent 6 7 2" xfId="583"/>
    <cellStyle name="Percent 6 8" xfId="584"/>
    <cellStyle name="Percent 6 8 2" xfId="585"/>
    <cellStyle name="Percent 6 9" xfId="586"/>
    <cellStyle name="Percent 6 9 2" xfId="587"/>
    <cellStyle name="Percent 7" xfId="588"/>
    <cellStyle name="Percent 7 10" xfId="589"/>
    <cellStyle name="Percent 7 10 2" xfId="590"/>
    <cellStyle name="Percent 7 11" xfId="591"/>
    <cellStyle name="Percent 7 11 2" xfId="592"/>
    <cellStyle name="Percent 7 12" xfId="593"/>
    <cellStyle name="Percent 7 12 2" xfId="594"/>
    <cellStyle name="Percent 7 13" xfId="595"/>
    <cellStyle name="Percent 7 13 2" xfId="596"/>
    <cellStyle name="Percent 7 14" xfId="597"/>
    <cellStyle name="Percent 7 14 2" xfId="598"/>
    <cellStyle name="Percent 7 15" xfId="599"/>
    <cellStyle name="Percent 7 2" xfId="600"/>
    <cellStyle name="Percent 7 2 2" xfId="601"/>
    <cellStyle name="Percent 7 3" xfId="602"/>
    <cellStyle name="Percent 7 3 2" xfId="603"/>
    <cellStyle name="Percent 7 4" xfId="604"/>
    <cellStyle name="Percent 7 4 2" xfId="605"/>
    <cellStyle name="Percent 7 5" xfId="606"/>
    <cellStyle name="Percent 7 5 2" xfId="607"/>
    <cellStyle name="Percent 7 6" xfId="608"/>
    <cellStyle name="Percent 7 6 2" xfId="609"/>
    <cellStyle name="Percent 7 7" xfId="610"/>
    <cellStyle name="Percent 7 7 2" xfId="611"/>
    <cellStyle name="Percent 7 8" xfId="612"/>
    <cellStyle name="Percent 7 8 2" xfId="613"/>
    <cellStyle name="Percent 7 9" xfId="614"/>
    <cellStyle name="Percent 7 9 2" xfId="615"/>
    <cellStyle name="Percent 8" xfId="616"/>
    <cellStyle name="Percent 8 10" xfId="617"/>
    <cellStyle name="Percent 8 10 2" xfId="618"/>
    <cellStyle name="Percent 8 11" xfId="619"/>
    <cellStyle name="Percent 8 11 2" xfId="620"/>
    <cellStyle name="Percent 8 12" xfId="621"/>
    <cellStyle name="Percent 8 12 2" xfId="622"/>
    <cellStyle name="Percent 8 13" xfId="623"/>
    <cellStyle name="Percent 8 13 2" xfId="624"/>
    <cellStyle name="Percent 8 14" xfId="625"/>
    <cellStyle name="Percent 8 14 2" xfId="626"/>
    <cellStyle name="Percent 8 15" xfId="627"/>
    <cellStyle name="Percent 8 2" xfId="628"/>
    <cellStyle name="Percent 8 2 2" xfId="629"/>
    <cellStyle name="Percent 8 3" xfId="630"/>
    <cellStyle name="Percent 8 3 2" xfId="631"/>
    <cellStyle name="Percent 8 4" xfId="632"/>
    <cellStyle name="Percent 8 4 2" xfId="633"/>
    <cellStyle name="Percent 8 5" xfId="634"/>
    <cellStyle name="Percent 8 5 2" xfId="635"/>
    <cellStyle name="Percent 8 6" xfId="636"/>
    <cellStyle name="Percent 8 6 2" xfId="637"/>
    <cellStyle name="Percent 8 7" xfId="638"/>
    <cellStyle name="Percent 8 7 2" xfId="639"/>
    <cellStyle name="Percent 8 8" xfId="640"/>
    <cellStyle name="Percent 8 8 2" xfId="641"/>
    <cellStyle name="Percent 8 9" xfId="642"/>
    <cellStyle name="Percent 8 9 2" xfId="643"/>
    <cellStyle name="Percent 9" xfId="644"/>
    <cellStyle name="Percent 9 10" xfId="645"/>
    <cellStyle name="Percent 9 10 2" xfId="646"/>
    <cellStyle name="Percent 9 11" xfId="647"/>
    <cellStyle name="Percent 9 11 2" xfId="648"/>
    <cellStyle name="Percent 9 12" xfId="649"/>
    <cellStyle name="Percent 9 12 2" xfId="650"/>
    <cellStyle name="Percent 9 13" xfId="651"/>
    <cellStyle name="Percent 9 13 2" xfId="652"/>
    <cellStyle name="Percent 9 14" xfId="653"/>
    <cellStyle name="Percent 9 14 2" xfId="654"/>
    <cellStyle name="Percent 9 15" xfId="655"/>
    <cellStyle name="Percent 9 2" xfId="656"/>
    <cellStyle name="Percent 9 2 2" xfId="657"/>
    <cellStyle name="Percent 9 3" xfId="658"/>
    <cellStyle name="Percent 9 3 2" xfId="659"/>
    <cellStyle name="Percent 9 4" xfId="660"/>
    <cellStyle name="Percent 9 4 2" xfId="661"/>
    <cellStyle name="Percent 9 5" xfId="662"/>
    <cellStyle name="Percent 9 5 2" xfId="663"/>
    <cellStyle name="Percent 9 6" xfId="664"/>
    <cellStyle name="Percent 9 6 2" xfId="665"/>
    <cellStyle name="Percent 9 7" xfId="666"/>
    <cellStyle name="Percent 9 7 2" xfId="667"/>
    <cellStyle name="Percent 9 8" xfId="668"/>
    <cellStyle name="Percent 9 8 2" xfId="669"/>
    <cellStyle name="Percent 9 9" xfId="670"/>
    <cellStyle name="Percent 9 9 2" xfId="671"/>
    <cellStyle name="Title 2" xfId="672"/>
    <cellStyle name="Total 2" xfId="673"/>
    <cellStyle name="Warning Text 2" xfId="6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endenH\CAPEX%201112\12.%20NT-A%20Tables%20CAP%20SUBM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holosa\Capex%20Budget%20201112\Capex%20201112\DRAFT%20PROJECTS%20-USING%20CURRENT%20HOUSING%20SPREADSHEET\12.%20NT-A%20Tables%20CAP%20SUBM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ama\Local%20Settings\Temporary%20Internet%20Files\OLK5F\A1%20Schedules-Annual%20Budget(09%20March%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holosan\Desktop\Emails%20-%20NT%20Schedules%20received%20from%20directorates\Consolidated%20tables\Final%20final\13.%20NT-A%20Tables%20(Dion)-Pam%20revision%20(10%20May%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dzondik\Desktop\Manderson%20Hotel%20-%2006%20February%202014\2013-2016%20Approved%20Capital%20Project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CAPA5-Capex"/>
      <sheetName val="CAPA5A"/>
      <sheetName val="CAPA9-Asset"/>
      <sheetName val="CAPSA6"/>
      <sheetName val="CAPSA28"/>
      <sheetName val="CAPSA29"/>
      <sheetName val="CAPSA34a"/>
      <sheetName val="CAPSA34b"/>
      <sheetName val="CAPSA35"/>
      <sheetName val="CAPSA36"/>
      <sheetName val="NERF"/>
      <sheetName val="MSCOA"/>
      <sheetName val="Compliance assessment"/>
    </sheetNames>
    <sheetDataSet>
      <sheetData sheetId="0"/>
      <sheetData sheetId="1"/>
      <sheetData sheetId="2" refreshError="1">
        <row r="3">
          <cell r="B3" t="str">
            <v>2008/9</v>
          </cell>
        </row>
        <row r="4">
          <cell r="B4" t="str">
            <v>2007/8</v>
          </cell>
        </row>
        <row r="11">
          <cell r="B11" t="str">
            <v>Pre-audit outcome</v>
          </cell>
        </row>
        <row r="12">
          <cell r="B12" t="str">
            <v>Original Budget</v>
          </cell>
        </row>
        <row r="13">
          <cell r="B13" t="str">
            <v>Adjusted Budget</v>
          </cell>
        </row>
        <row r="32">
          <cell r="B32" t="str">
            <v>Vote Description</v>
          </cell>
        </row>
        <row r="104">
          <cell r="B104" t="str">
            <v>Table A5 Budgeted Capital Expenditure by vote, standard classification and funding</v>
          </cell>
        </row>
      </sheetData>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CAPA5-Capex"/>
      <sheetName val="CAPA5A"/>
      <sheetName val="CAPA9-Asset"/>
      <sheetName val="CAPSA6"/>
      <sheetName val="CAPSA28"/>
      <sheetName val="CAPSA29"/>
      <sheetName val="CAPSA34a"/>
      <sheetName val="CAPSA34b"/>
      <sheetName val="CAPSA35"/>
      <sheetName val="CAPSA36"/>
      <sheetName val="NERF"/>
      <sheetName val="MSCOA"/>
      <sheetName val="Compliance assessment"/>
    </sheetNames>
    <sheetDataSet>
      <sheetData sheetId="0" refreshError="1"/>
      <sheetData sheetId="1" refreshError="1"/>
      <sheetData sheetId="2" refreshError="1">
        <row r="2">
          <cell r="B2" t="str">
            <v>2009/10</v>
          </cell>
        </row>
        <row r="5">
          <cell r="B5" t="str">
            <v>Current Year 2010/11</v>
          </cell>
        </row>
        <row r="7">
          <cell r="B7" t="str">
            <v>2011/12 Medium Term Revenue &amp; Expenditure Framework</v>
          </cell>
        </row>
        <row r="9">
          <cell r="B9" t="str">
            <v>Audited Outcome</v>
          </cell>
        </row>
        <row r="14">
          <cell r="B14" t="str">
            <v>Full Year Forecast</v>
          </cell>
        </row>
        <row r="33">
          <cell r="B33" t="str">
            <v>Ref</v>
          </cell>
        </row>
        <row r="34">
          <cell r="B34" t="str">
            <v>References</v>
          </cell>
        </row>
        <row r="93">
          <cell r="B93" t="str">
            <v>EC125 Buffalo City</v>
          </cell>
        </row>
        <row r="148">
          <cell r="B148" t="str">
            <v>Supporting Table SA36 Detailed capital budget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refreshError="1"/>
      <sheetData sheetId="1" refreshError="1"/>
      <sheetData sheetId="2" refreshError="1">
        <row r="15">
          <cell r="B15" t="str">
            <v>Budget Year 2011/12</v>
          </cell>
        </row>
        <row r="16">
          <cell r="B16" t="str">
            <v>Budget Year +1 2012/13</v>
          </cell>
        </row>
        <row r="17">
          <cell r="B17" t="str">
            <v>Budget Year +2 2013/14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BCMSum"/>
      <sheetName val="BCM-Feader"/>
      <sheetName val="ElecSum"/>
      <sheetName val="WtrSum"/>
      <sheetName val="RefSum"/>
      <sheetName val="SewSum"/>
      <sheetName val="CCSum"/>
      <sheetName val="CC-Feader"/>
      <sheetName val="SCSum"/>
      <sheetName val="SC-Feader"/>
      <sheetName val="IDPSum"/>
      <sheetName val="IDP-Feader"/>
      <sheetName val="RMSum"/>
      <sheetName val="RM-Feader"/>
      <sheetName val="MunAcc"/>
      <sheetName val="ExecSum"/>
      <sheetName val="Exec-Feader"/>
      <sheetName val="MMSum"/>
      <sheetName val="MM-Feader"/>
      <sheetName val="CooSum"/>
      <sheetName val="Coo-Feeder"/>
      <sheetName val="FinSum"/>
      <sheetName val="Fin-Feeder"/>
      <sheetName val="CorpSum"/>
      <sheetName val="Corp-Feeder"/>
      <sheetName val="EngSum"/>
      <sheetName val="Eng-Feeder"/>
      <sheetName val="PedSum"/>
      <sheetName val="Ped-Feeder"/>
      <sheetName val="HpsSum"/>
      <sheetName val="Hps-Feeder"/>
      <sheetName val="CsSUM"/>
      <sheetName val="Cs-Feeder"/>
      <sheetName val="MiscSum"/>
      <sheetName val="Misc-Feeder"/>
      <sheetName val="SA25-1"/>
      <sheetName val="SA25 Feeder"/>
      <sheetName val="SA26-1"/>
      <sheetName val="SA26 Feeder"/>
      <sheetName val="SA27-1"/>
      <sheetName val="SA27 Feeder"/>
      <sheetName val="SKSA22"/>
      <sheetName val="SKSA23"/>
      <sheetName val="SKSA24"/>
    </sheetNames>
    <sheetDataSet>
      <sheetData sheetId="0"/>
      <sheetData sheetId="1"/>
      <sheetData sheetId="2" refreshError="1">
        <row r="116">
          <cell r="B116" t="str">
            <v>Supporting Table SA6 Reconciliation of IDP strategic objectives and budget (capital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013-2016 Projects"/>
      <sheetName val="Summaries"/>
    </sheetNames>
    <sheetDataSet>
      <sheetData sheetId="0" refreshError="1">
        <row r="6">
          <cell r="D6" t="str">
            <v>Executive and council</v>
          </cell>
          <cell r="E6" t="str">
            <v>Support Services</v>
          </cell>
          <cell r="O6" t="str">
            <v>New-270</v>
          </cell>
          <cell r="R6" t="str">
            <v>KPA5</v>
          </cell>
          <cell r="V6">
            <v>500000</v>
          </cell>
        </row>
        <row r="7">
          <cell r="D7" t="str">
            <v>Executive and council</v>
          </cell>
          <cell r="E7" t="str">
            <v>Support Services</v>
          </cell>
          <cell r="R7" t="str">
            <v>KPA5</v>
          </cell>
        </row>
        <row r="8">
          <cell r="V8">
            <v>500000</v>
          </cell>
        </row>
        <row r="11">
          <cell r="D11" t="str">
            <v>Executive and council</v>
          </cell>
          <cell r="E11" t="str">
            <v>Support Services</v>
          </cell>
          <cell r="O11" t="str">
            <v>New-270</v>
          </cell>
          <cell r="R11" t="str">
            <v>KPA5</v>
          </cell>
          <cell r="V11">
            <v>500000</v>
          </cell>
        </row>
        <row r="12">
          <cell r="D12" t="str">
            <v>Executive and council</v>
          </cell>
          <cell r="E12" t="str">
            <v>Support Services</v>
          </cell>
          <cell r="O12" t="str">
            <v>New-270</v>
          </cell>
          <cell r="R12" t="str">
            <v>KPA5</v>
          </cell>
        </row>
        <row r="13">
          <cell r="V13">
            <v>500000</v>
          </cell>
        </row>
        <row r="16">
          <cell r="D16" t="str">
            <v>Other</v>
          </cell>
          <cell r="E16" t="str">
            <v>Support Services</v>
          </cell>
          <cell r="O16" t="str">
            <v>New-270</v>
          </cell>
          <cell r="R16" t="str">
            <v>KPA5</v>
          </cell>
          <cell r="V16">
            <v>500000</v>
          </cell>
        </row>
        <row r="17">
          <cell r="D17" t="str">
            <v>Other</v>
          </cell>
          <cell r="E17" t="str">
            <v>Support Services</v>
          </cell>
          <cell r="O17" t="str">
            <v>New-270</v>
          </cell>
          <cell r="R17" t="str">
            <v>KPA2</v>
          </cell>
        </row>
        <row r="18">
          <cell r="D18" t="str">
            <v>Other</v>
          </cell>
          <cell r="E18" t="str">
            <v>Support Services</v>
          </cell>
          <cell r="O18" t="str">
            <v>New-270</v>
          </cell>
          <cell r="R18" t="str">
            <v>KPA2</v>
          </cell>
        </row>
        <row r="19">
          <cell r="D19" t="str">
            <v>Housing</v>
          </cell>
          <cell r="E19" t="str">
            <v>Housing</v>
          </cell>
          <cell r="O19" t="str">
            <v>New-80</v>
          </cell>
          <cell r="R19" t="str">
            <v>KPA2</v>
          </cell>
        </row>
        <row r="20">
          <cell r="D20" t="str">
            <v>Housing</v>
          </cell>
          <cell r="E20" t="str">
            <v>Housing</v>
          </cell>
          <cell r="O20" t="str">
            <v>New-80</v>
          </cell>
          <cell r="R20" t="str">
            <v>KPA2</v>
          </cell>
        </row>
        <row r="21">
          <cell r="D21" t="str">
            <v>Housing</v>
          </cell>
          <cell r="E21" t="str">
            <v>Housing</v>
          </cell>
          <cell r="O21" t="str">
            <v>New-80</v>
          </cell>
          <cell r="R21" t="str">
            <v>KPA2</v>
          </cell>
        </row>
        <row r="22">
          <cell r="D22" t="str">
            <v>Housing</v>
          </cell>
          <cell r="E22" t="str">
            <v>Housing</v>
          </cell>
          <cell r="O22" t="str">
            <v>New-80</v>
          </cell>
          <cell r="R22" t="str">
            <v>KPA2</v>
          </cell>
        </row>
        <row r="23">
          <cell r="D23" t="str">
            <v>Housing</v>
          </cell>
          <cell r="E23" t="str">
            <v>Housing</v>
          </cell>
          <cell r="O23" t="str">
            <v>New-80</v>
          </cell>
          <cell r="R23" t="str">
            <v>KPA2</v>
          </cell>
        </row>
        <row r="24">
          <cell r="D24" t="str">
            <v>Housing</v>
          </cell>
          <cell r="E24" t="str">
            <v>Housing</v>
          </cell>
          <cell r="O24" t="str">
            <v>New-80</v>
          </cell>
          <cell r="R24" t="str">
            <v>KPA2</v>
          </cell>
        </row>
        <row r="25">
          <cell r="D25" t="str">
            <v>Housing</v>
          </cell>
          <cell r="E25" t="str">
            <v>Housing</v>
          </cell>
          <cell r="O25" t="str">
            <v>New-80</v>
          </cell>
          <cell r="R25" t="str">
            <v>KPA2</v>
          </cell>
        </row>
        <row r="26">
          <cell r="D26" t="str">
            <v>Housing</v>
          </cell>
          <cell r="E26" t="str">
            <v>Housing</v>
          </cell>
          <cell r="O26" t="str">
            <v>New-80</v>
          </cell>
          <cell r="R26" t="str">
            <v>KPA2</v>
          </cell>
        </row>
        <row r="27">
          <cell r="D27" t="str">
            <v>Housing</v>
          </cell>
          <cell r="E27" t="str">
            <v>Housing</v>
          </cell>
          <cell r="O27" t="str">
            <v>New-80</v>
          </cell>
          <cell r="R27" t="str">
            <v>KPA2</v>
          </cell>
        </row>
        <row r="28">
          <cell r="D28" t="str">
            <v>Housing</v>
          </cell>
          <cell r="E28" t="str">
            <v>Housing</v>
          </cell>
          <cell r="O28" t="str">
            <v>New-80</v>
          </cell>
          <cell r="R28" t="str">
            <v>KPA2</v>
          </cell>
        </row>
        <row r="29">
          <cell r="D29" t="str">
            <v>Housing</v>
          </cell>
          <cell r="E29" t="str">
            <v>Housing</v>
          </cell>
          <cell r="O29" t="str">
            <v>New-80</v>
          </cell>
          <cell r="R29" t="str">
            <v>KPA2</v>
          </cell>
        </row>
        <row r="30">
          <cell r="D30" t="str">
            <v>Housing</v>
          </cell>
          <cell r="E30" t="str">
            <v>Housing</v>
          </cell>
          <cell r="O30" t="str">
            <v>New-80</v>
          </cell>
          <cell r="R30" t="str">
            <v>KPA2</v>
          </cell>
        </row>
        <row r="31">
          <cell r="D31" t="str">
            <v>Housing</v>
          </cell>
          <cell r="E31" t="str">
            <v>Housing</v>
          </cell>
          <cell r="O31" t="str">
            <v>New-80</v>
          </cell>
          <cell r="R31" t="str">
            <v>KPA2</v>
          </cell>
        </row>
        <row r="32">
          <cell r="D32" t="str">
            <v>Housing</v>
          </cell>
          <cell r="E32" t="str">
            <v>Housing</v>
          </cell>
          <cell r="O32" t="str">
            <v>New-80</v>
          </cell>
          <cell r="R32" t="str">
            <v>KPA2</v>
          </cell>
        </row>
        <row r="33">
          <cell r="D33" t="str">
            <v>Housing</v>
          </cell>
          <cell r="E33" t="str">
            <v>Housing</v>
          </cell>
          <cell r="O33" t="str">
            <v>New-80</v>
          </cell>
          <cell r="R33" t="str">
            <v>KPA2</v>
          </cell>
        </row>
        <row r="34">
          <cell r="D34" t="str">
            <v>Housing</v>
          </cell>
          <cell r="E34" t="str">
            <v>Housing</v>
          </cell>
          <cell r="O34" t="str">
            <v>New-80</v>
          </cell>
          <cell r="R34" t="str">
            <v>KPA2</v>
          </cell>
        </row>
        <row r="35">
          <cell r="D35" t="str">
            <v>Housing</v>
          </cell>
          <cell r="E35" t="str">
            <v>Housing</v>
          </cell>
          <cell r="O35" t="str">
            <v>New-80</v>
          </cell>
          <cell r="R35" t="str">
            <v>KPA2</v>
          </cell>
        </row>
        <row r="36">
          <cell r="D36" t="str">
            <v>Housing</v>
          </cell>
          <cell r="E36" t="str">
            <v>Housing</v>
          </cell>
          <cell r="O36" t="str">
            <v>New-80</v>
          </cell>
          <cell r="R36" t="str">
            <v>KPA2</v>
          </cell>
        </row>
        <row r="37">
          <cell r="D37" t="str">
            <v>Housing</v>
          </cell>
          <cell r="E37" t="str">
            <v>Housing</v>
          </cell>
          <cell r="O37" t="str">
            <v>New-80</v>
          </cell>
          <cell r="R37" t="str">
            <v>KPA2</v>
          </cell>
        </row>
        <row r="38">
          <cell r="D38" t="str">
            <v>Housing</v>
          </cell>
          <cell r="E38" t="str">
            <v>Housing</v>
          </cell>
          <cell r="O38" t="str">
            <v>New-80</v>
          </cell>
          <cell r="R38" t="str">
            <v>KPA2</v>
          </cell>
        </row>
        <row r="39">
          <cell r="D39" t="str">
            <v>Housing</v>
          </cell>
          <cell r="E39" t="str">
            <v>Housing</v>
          </cell>
          <cell r="O39" t="str">
            <v>New-80</v>
          </cell>
          <cell r="R39" t="str">
            <v>KPA2</v>
          </cell>
        </row>
        <row r="40">
          <cell r="D40" t="str">
            <v>Housing</v>
          </cell>
          <cell r="E40" t="str">
            <v>Housing</v>
          </cell>
          <cell r="O40" t="str">
            <v>New-80</v>
          </cell>
          <cell r="R40" t="str">
            <v>KPA2</v>
          </cell>
        </row>
        <row r="41">
          <cell r="D41" t="str">
            <v>Housing</v>
          </cell>
          <cell r="E41" t="str">
            <v>Housing</v>
          </cell>
          <cell r="O41" t="str">
            <v>New-80</v>
          </cell>
          <cell r="R41" t="str">
            <v>KPA2</v>
          </cell>
        </row>
        <row r="42">
          <cell r="D42" t="str">
            <v>Housing</v>
          </cell>
          <cell r="E42" t="str">
            <v>Housing</v>
          </cell>
          <cell r="O42" t="str">
            <v>New-80</v>
          </cell>
          <cell r="R42" t="str">
            <v>KPA2</v>
          </cell>
        </row>
        <row r="43">
          <cell r="D43" t="str">
            <v>Housing</v>
          </cell>
          <cell r="E43" t="str">
            <v>Housing</v>
          </cell>
          <cell r="O43" t="str">
            <v>New-80</v>
          </cell>
          <cell r="R43" t="str">
            <v>KPA2</v>
          </cell>
        </row>
        <row r="44">
          <cell r="D44" t="str">
            <v>Housing</v>
          </cell>
          <cell r="E44" t="str">
            <v>Housing</v>
          </cell>
          <cell r="O44" t="str">
            <v>New-80</v>
          </cell>
          <cell r="R44" t="str">
            <v>KPA2</v>
          </cell>
        </row>
        <row r="45">
          <cell r="D45" t="str">
            <v>Housing</v>
          </cell>
          <cell r="E45" t="str">
            <v>Housing</v>
          </cell>
          <cell r="O45" t="str">
            <v>New-80</v>
          </cell>
          <cell r="R45" t="str">
            <v>KPA2</v>
          </cell>
        </row>
        <row r="46">
          <cell r="D46" t="str">
            <v>Housing</v>
          </cell>
          <cell r="E46" t="str">
            <v>Housing</v>
          </cell>
          <cell r="O46" t="str">
            <v>New-80</v>
          </cell>
          <cell r="R46" t="str">
            <v>KPA2</v>
          </cell>
        </row>
        <row r="47">
          <cell r="D47" t="str">
            <v>Housing</v>
          </cell>
          <cell r="E47" t="str">
            <v>Housing</v>
          </cell>
          <cell r="O47" t="str">
            <v>New-80</v>
          </cell>
          <cell r="R47" t="str">
            <v>KPA2</v>
          </cell>
        </row>
        <row r="48">
          <cell r="D48" t="str">
            <v>Housing</v>
          </cell>
          <cell r="E48" t="str">
            <v>Housing</v>
          </cell>
          <cell r="O48" t="str">
            <v>New-80</v>
          </cell>
          <cell r="R48" t="str">
            <v>KPA2</v>
          </cell>
        </row>
        <row r="49">
          <cell r="D49" t="str">
            <v>Housing</v>
          </cell>
          <cell r="E49" t="str">
            <v>Housing</v>
          </cell>
          <cell r="O49" t="str">
            <v>New-80</v>
          </cell>
          <cell r="R49" t="str">
            <v>KPA2</v>
          </cell>
        </row>
        <row r="50">
          <cell r="D50" t="str">
            <v>Housing</v>
          </cell>
          <cell r="E50" t="str">
            <v>Housing</v>
          </cell>
          <cell r="O50" t="str">
            <v>New-80</v>
          </cell>
          <cell r="R50" t="str">
            <v>KPA2</v>
          </cell>
        </row>
        <row r="51">
          <cell r="D51" t="str">
            <v>Housing</v>
          </cell>
          <cell r="E51" t="str">
            <v>Housing</v>
          </cell>
          <cell r="O51" t="str">
            <v>New-80</v>
          </cell>
          <cell r="R51" t="str">
            <v>KPA2</v>
          </cell>
        </row>
        <row r="52">
          <cell r="V52">
            <v>500000</v>
          </cell>
        </row>
        <row r="54">
          <cell r="V54">
            <v>500000</v>
          </cell>
        </row>
        <row r="57">
          <cell r="D57" t="str">
            <v>Budget and treasury office</v>
          </cell>
          <cell r="E57" t="str">
            <v>Support Services</v>
          </cell>
          <cell r="O57" t="str">
            <v>New-270</v>
          </cell>
          <cell r="R57" t="str">
            <v>KPA5</v>
          </cell>
          <cell r="V57">
            <v>500000</v>
          </cell>
        </row>
        <row r="58">
          <cell r="V58">
            <v>500000</v>
          </cell>
        </row>
        <row r="62">
          <cell r="D62" t="str">
            <v>Corporate Services</v>
          </cell>
          <cell r="E62" t="str">
            <v>Support Services</v>
          </cell>
          <cell r="O62" t="str">
            <v>New-270</v>
          </cell>
          <cell r="R62" t="str">
            <v>KPA5</v>
          </cell>
          <cell r="V62">
            <v>500000</v>
          </cell>
        </row>
        <row r="63">
          <cell r="D63" t="str">
            <v>Corporate Services</v>
          </cell>
          <cell r="E63" t="str">
            <v>Support Services</v>
          </cell>
          <cell r="O63" t="str">
            <v>New-270</v>
          </cell>
          <cell r="R63" t="str">
            <v>KPA1</v>
          </cell>
        </row>
        <row r="64">
          <cell r="D64" t="str">
            <v>Corporate Services</v>
          </cell>
          <cell r="E64" t="str">
            <v>Support Services</v>
          </cell>
          <cell r="O64" t="str">
            <v>New-270</v>
          </cell>
          <cell r="R64" t="str">
            <v>KPA1</v>
          </cell>
        </row>
        <row r="65">
          <cell r="D65" t="str">
            <v>Corporate Services</v>
          </cell>
          <cell r="E65" t="str">
            <v>Support Services</v>
          </cell>
          <cell r="O65" t="str">
            <v>New-270</v>
          </cell>
          <cell r="R65" t="str">
            <v>KPA1</v>
          </cell>
        </row>
        <row r="66">
          <cell r="D66" t="str">
            <v>Corporate Services</v>
          </cell>
          <cell r="E66" t="str">
            <v>Support Services</v>
          </cell>
          <cell r="O66" t="str">
            <v>New-270</v>
          </cell>
          <cell r="R66" t="str">
            <v>KPA1</v>
          </cell>
        </row>
        <row r="67">
          <cell r="D67" t="str">
            <v>Corporate Services</v>
          </cell>
          <cell r="E67" t="str">
            <v>Support Services</v>
          </cell>
          <cell r="O67" t="str">
            <v>New-270</v>
          </cell>
          <cell r="R67" t="str">
            <v>KPA1</v>
          </cell>
        </row>
        <row r="68">
          <cell r="D68" t="str">
            <v>Corporate Services</v>
          </cell>
          <cell r="E68" t="str">
            <v>Support Services</v>
          </cell>
          <cell r="O68" t="str">
            <v>New-270</v>
          </cell>
          <cell r="R68" t="str">
            <v>KPA1</v>
          </cell>
        </row>
        <row r="69">
          <cell r="D69" t="str">
            <v>Corporate Services</v>
          </cell>
          <cell r="E69" t="str">
            <v>Support Services</v>
          </cell>
          <cell r="O69" t="str">
            <v>New-270</v>
          </cell>
          <cell r="R69" t="str">
            <v>KPA1</v>
          </cell>
        </row>
        <row r="70">
          <cell r="D70" t="str">
            <v>Corporate Services</v>
          </cell>
          <cell r="E70" t="str">
            <v>Support Services</v>
          </cell>
          <cell r="O70" t="str">
            <v>New-270</v>
          </cell>
          <cell r="R70" t="str">
            <v>KPA1</v>
          </cell>
        </row>
        <row r="71">
          <cell r="D71" t="str">
            <v>Corporate Services</v>
          </cell>
          <cell r="E71" t="str">
            <v>Support Services</v>
          </cell>
          <cell r="O71" t="str">
            <v>Renewal-312</v>
          </cell>
          <cell r="R71" t="str">
            <v>KPA1</v>
          </cell>
        </row>
        <row r="72">
          <cell r="D72" t="str">
            <v>Corporate Services</v>
          </cell>
          <cell r="E72" t="str">
            <v>Support Services</v>
          </cell>
          <cell r="O72" t="str">
            <v>New-270</v>
          </cell>
          <cell r="R72" t="str">
            <v>KPA1</v>
          </cell>
        </row>
        <row r="73">
          <cell r="V73">
            <v>500000</v>
          </cell>
        </row>
        <row r="77">
          <cell r="D77" t="str">
            <v>Waste water Management</v>
          </cell>
          <cell r="E77" t="str">
            <v>Waste Water</v>
          </cell>
          <cell r="O77" t="str">
            <v>New-270</v>
          </cell>
          <cell r="R77" t="str">
            <v>KPA5</v>
          </cell>
          <cell r="V77">
            <v>500000</v>
          </cell>
        </row>
        <row r="78">
          <cell r="D78" t="str">
            <v>Water</v>
          </cell>
          <cell r="E78" t="str">
            <v>Roads</v>
          </cell>
          <cell r="O78" t="str">
            <v>Renewal-40</v>
          </cell>
          <cell r="R78" t="str">
            <v>KPA2</v>
          </cell>
        </row>
        <row r="79">
          <cell r="D79" t="str">
            <v>Road transport</v>
          </cell>
          <cell r="E79" t="str">
            <v>Roads</v>
          </cell>
          <cell r="O79" t="str">
            <v>New-30</v>
          </cell>
          <cell r="R79" t="str">
            <v>KPA2</v>
          </cell>
        </row>
        <row r="80">
          <cell r="D80" t="str">
            <v>Road transport</v>
          </cell>
          <cell r="E80" t="str">
            <v>Roads</v>
          </cell>
          <cell r="O80" t="str">
            <v>New-30</v>
          </cell>
          <cell r="R80" t="str">
            <v>KPA2</v>
          </cell>
        </row>
        <row r="81">
          <cell r="D81" t="str">
            <v>Road transport</v>
          </cell>
          <cell r="E81" t="str">
            <v>Roads</v>
          </cell>
          <cell r="O81" t="str">
            <v>New-30</v>
          </cell>
          <cell r="R81" t="str">
            <v>KPA2</v>
          </cell>
        </row>
        <row r="82">
          <cell r="D82" t="str">
            <v>Road transport</v>
          </cell>
          <cell r="E82" t="str">
            <v>Roads</v>
          </cell>
          <cell r="O82" t="str">
            <v>New-30</v>
          </cell>
          <cell r="R82" t="str">
            <v>KPA2</v>
          </cell>
        </row>
        <row r="83">
          <cell r="D83" t="str">
            <v>Other</v>
          </cell>
          <cell r="E83" t="str">
            <v>Other</v>
          </cell>
          <cell r="O83" t="str">
            <v>New-270</v>
          </cell>
          <cell r="R83" t="str">
            <v>KPA2</v>
          </cell>
        </row>
        <row r="84">
          <cell r="D84" t="str">
            <v>Other</v>
          </cell>
          <cell r="E84" t="str">
            <v>Other</v>
          </cell>
          <cell r="O84" t="str">
            <v>New-250</v>
          </cell>
          <cell r="R84" t="str">
            <v>KPA2</v>
          </cell>
        </row>
        <row r="85">
          <cell r="D85" t="str">
            <v>Other</v>
          </cell>
          <cell r="E85" t="str">
            <v>Other</v>
          </cell>
          <cell r="O85" t="str">
            <v>New-250</v>
          </cell>
          <cell r="R85" t="str">
            <v>KPA2</v>
          </cell>
        </row>
        <row r="86">
          <cell r="D86" t="str">
            <v>Other</v>
          </cell>
          <cell r="E86" t="str">
            <v>Other</v>
          </cell>
          <cell r="O86" t="str">
            <v>New-250</v>
          </cell>
          <cell r="R86" t="str">
            <v>KPA2</v>
          </cell>
        </row>
        <row r="87">
          <cell r="D87" t="str">
            <v>Electricity</v>
          </cell>
          <cell r="E87" t="str">
            <v>Electricity</v>
          </cell>
          <cell r="O87" t="str">
            <v>New-60</v>
          </cell>
          <cell r="R87" t="str">
            <v>KPA2</v>
          </cell>
        </row>
        <row r="88">
          <cell r="D88" t="str">
            <v>Electricity</v>
          </cell>
          <cell r="E88" t="str">
            <v>Electricity</v>
          </cell>
          <cell r="O88" t="str">
            <v>New-60</v>
          </cell>
          <cell r="R88" t="str">
            <v>KPA2</v>
          </cell>
        </row>
        <row r="89">
          <cell r="D89" t="str">
            <v>Electricity</v>
          </cell>
          <cell r="E89" t="str">
            <v>Electricity</v>
          </cell>
          <cell r="O89" t="str">
            <v>New-60</v>
          </cell>
          <cell r="R89" t="str">
            <v>KPA2</v>
          </cell>
        </row>
        <row r="90">
          <cell r="D90" t="str">
            <v>Electricity</v>
          </cell>
          <cell r="E90" t="str">
            <v>Electricity</v>
          </cell>
          <cell r="O90" t="str">
            <v>New-60</v>
          </cell>
          <cell r="R90" t="str">
            <v>KPA2</v>
          </cell>
        </row>
        <row r="91">
          <cell r="D91" t="str">
            <v>Electricity</v>
          </cell>
          <cell r="E91" t="str">
            <v>Electricity</v>
          </cell>
          <cell r="O91" t="str">
            <v>New-60</v>
          </cell>
          <cell r="R91" t="str">
            <v>KPA2</v>
          </cell>
        </row>
        <row r="92">
          <cell r="D92" t="str">
            <v>Electricity</v>
          </cell>
          <cell r="E92" t="str">
            <v>Electricity</v>
          </cell>
          <cell r="O92" t="str">
            <v>New-60</v>
          </cell>
          <cell r="R92" t="str">
            <v>KPA2</v>
          </cell>
        </row>
        <row r="93">
          <cell r="V93">
            <v>500000</v>
          </cell>
        </row>
        <row r="95">
          <cell r="V95">
            <v>500000</v>
          </cell>
        </row>
        <row r="98">
          <cell r="D98" t="str">
            <v>Planning and Development</v>
          </cell>
          <cell r="E98" t="str">
            <v>Planning and development</v>
          </cell>
          <cell r="O98" t="str">
            <v>New-270</v>
          </cell>
          <cell r="R98" t="str">
            <v>KPA5</v>
          </cell>
          <cell r="V98">
            <v>500000</v>
          </cell>
        </row>
        <row r="99">
          <cell r="D99" t="str">
            <v>Planning and Development</v>
          </cell>
          <cell r="E99" t="str">
            <v>Planning and development</v>
          </cell>
          <cell r="O99" t="str">
            <v>Renewal-312</v>
          </cell>
          <cell r="R99" t="str">
            <v>KPA2</v>
          </cell>
        </row>
        <row r="100">
          <cell r="D100" t="str">
            <v>Executive and Council</v>
          </cell>
          <cell r="E100" t="str">
            <v>Support Services</v>
          </cell>
          <cell r="O100" t="str">
            <v>Renewal-312</v>
          </cell>
          <cell r="R100" t="str">
            <v>KPA2</v>
          </cell>
        </row>
        <row r="101">
          <cell r="D101" t="str">
            <v>Planning and Development</v>
          </cell>
          <cell r="E101" t="str">
            <v>Planning and development</v>
          </cell>
          <cell r="O101" t="str">
            <v>New-312</v>
          </cell>
          <cell r="R101" t="str">
            <v>KPA2</v>
          </cell>
        </row>
        <row r="102">
          <cell r="D102" t="str">
            <v>Planning and development</v>
          </cell>
          <cell r="E102" t="str">
            <v>Planning and development</v>
          </cell>
          <cell r="O102" t="str">
            <v>New-50</v>
          </cell>
          <cell r="R102" t="str">
            <v>KPA2</v>
          </cell>
        </row>
        <row r="103">
          <cell r="D103" t="str">
            <v>Planning and development</v>
          </cell>
          <cell r="E103" t="str">
            <v>Planning and development</v>
          </cell>
          <cell r="O103" t="str">
            <v>New-50</v>
          </cell>
          <cell r="R103" t="str">
            <v>KPA2</v>
          </cell>
        </row>
        <row r="104">
          <cell r="D104" t="str">
            <v>Planning and Development</v>
          </cell>
          <cell r="E104" t="str">
            <v>Planning and development</v>
          </cell>
          <cell r="O104" t="str">
            <v>New-50</v>
          </cell>
          <cell r="R104" t="str">
            <v>KPA2</v>
          </cell>
        </row>
        <row r="105">
          <cell r="D105" t="str">
            <v>Planning and Development</v>
          </cell>
          <cell r="E105" t="str">
            <v>Planning and development</v>
          </cell>
          <cell r="O105" t="str">
            <v>New-50</v>
          </cell>
          <cell r="R105" t="str">
            <v>KPA2</v>
          </cell>
        </row>
        <row r="106">
          <cell r="D106" t="str">
            <v>Planning and Development</v>
          </cell>
          <cell r="E106" t="str">
            <v>Planning and development</v>
          </cell>
          <cell r="O106" t="str">
            <v>New-50</v>
          </cell>
          <cell r="R106" t="str">
            <v>KPA2</v>
          </cell>
        </row>
        <row r="107">
          <cell r="D107" t="str">
            <v>Planning and Development</v>
          </cell>
          <cell r="E107" t="str">
            <v>Planning and development</v>
          </cell>
          <cell r="O107" t="str">
            <v>New-50</v>
          </cell>
          <cell r="R107" t="str">
            <v>KPA2</v>
          </cell>
        </row>
        <row r="108">
          <cell r="D108" t="str">
            <v>Planning and Development</v>
          </cell>
          <cell r="E108" t="str">
            <v>Planning and development</v>
          </cell>
          <cell r="O108" t="str">
            <v>New-50</v>
          </cell>
          <cell r="R108" t="str">
            <v>KPA2</v>
          </cell>
        </row>
        <row r="109">
          <cell r="D109" t="str">
            <v>Planning and Development</v>
          </cell>
          <cell r="E109" t="str">
            <v>Planning and development</v>
          </cell>
          <cell r="O109" t="str">
            <v>New-50</v>
          </cell>
          <cell r="R109" t="str">
            <v>KPA2</v>
          </cell>
        </row>
        <row r="110">
          <cell r="D110" t="str">
            <v>Planning and Development</v>
          </cell>
          <cell r="E110" t="str">
            <v>Planning and development</v>
          </cell>
          <cell r="O110" t="str">
            <v>New-250</v>
          </cell>
          <cell r="R110" t="str">
            <v>KPA2</v>
          </cell>
        </row>
        <row r="111">
          <cell r="V111">
            <v>500000</v>
          </cell>
        </row>
        <row r="114">
          <cell r="D114" t="str">
            <v>Public safety</v>
          </cell>
          <cell r="E114" t="str">
            <v>Public safety</v>
          </cell>
          <cell r="O114" t="str">
            <v>New-270</v>
          </cell>
          <cell r="R114" t="str">
            <v>KPA5</v>
          </cell>
          <cell r="V114">
            <v>500000</v>
          </cell>
        </row>
        <row r="115">
          <cell r="D115" t="str">
            <v>Public safety</v>
          </cell>
          <cell r="E115" t="str">
            <v>Public safety</v>
          </cell>
          <cell r="O115" t="str">
            <v>New-312</v>
          </cell>
          <cell r="R115" t="str">
            <v>KPA2</v>
          </cell>
        </row>
        <row r="116">
          <cell r="D116" t="str">
            <v>Public safety</v>
          </cell>
          <cell r="E116" t="str">
            <v>Public safety</v>
          </cell>
          <cell r="O116" t="str">
            <v>New-250</v>
          </cell>
          <cell r="R116" t="str">
            <v>KPA2</v>
          </cell>
        </row>
        <row r="117">
          <cell r="D117" t="str">
            <v>Public safety</v>
          </cell>
          <cell r="E117" t="str">
            <v>Public safety</v>
          </cell>
          <cell r="O117" t="str">
            <v>New-220</v>
          </cell>
          <cell r="R117" t="str">
            <v>KPA2</v>
          </cell>
        </row>
        <row r="118">
          <cell r="D118" t="str">
            <v>Public safety</v>
          </cell>
          <cell r="E118" t="str">
            <v>Public safety</v>
          </cell>
          <cell r="O118" t="str">
            <v>New-250</v>
          </cell>
          <cell r="R118" t="str">
            <v>KPA2</v>
          </cell>
        </row>
        <row r="119">
          <cell r="V119">
            <v>500000</v>
          </cell>
        </row>
        <row r="121">
          <cell r="V121">
            <v>500000</v>
          </cell>
        </row>
        <row r="124">
          <cell r="D124" t="str">
            <v>Community and social services</v>
          </cell>
          <cell r="E124" t="str">
            <v>Amenities</v>
          </cell>
          <cell r="O124" t="str">
            <v>New-270</v>
          </cell>
          <cell r="R124" t="str">
            <v>KPA5</v>
          </cell>
          <cell r="V124">
            <v>500000</v>
          </cell>
        </row>
        <row r="125">
          <cell r="D125" t="str">
            <v>Environmental Protection</v>
          </cell>
          <cell r="E125" t="str">
            <v>Environmental Services</v>
          </cell>
          <cell r="O125" t="str">
            <v>New-220</v>
          </cell>
          <cell r="R125" t="str">
            <v>KPA2</v>
          </cell>
        </row>
        <row r="126">
          <cell r="D126" t="str">
            <v>Community and social services</v>
          </cell>
          <cell r="E126" t="str">
            <v>Amenities</v>
          </cell>
          <cell r="O126" t="str">
            <v>New-170</v>
          </cell>
          <cell r="R126" t="str">
            <v>KPA2</v>
          </cell>
        </row>
        <row r="127">
          <cell r="D127" t="str">
            <v>Community and social services</v>
          </cell>
          <cell r="E127" t="str">
            <v>Amenities</v>
          </cell>
          <cell r="O127" t="str">
            <v>Renewal-160</v>
          </cell>
          <cell r="R127" t="str">
            <v>KPA2</v>
          </cell>
        </row>
        <row r="128">
          <cell r="D128" t="str">
            <v>Community and social services</v>
          </cell>
          <cell r="E128" t="str">
            <v>Amenities</v>
          </cell>
          <cell r="O128" t="str">
            <v>Renewal-160</v>
          </cell>
          <cell r="R128" t="str">
            <v>KPA2</v>
          </cell>
        </row>
        <row r="129">
          <cell r="D129" t="str">
            <v>Community and social services</v>
          </cell>
          <cell r="E129" t="str">
            <v>Cleansing</v>
          </cell>
          <cell r="O129" t="str">
            <v>New-100</v>
          </cell>
          <cell r="R129" t="str">
            <v>KPA2</v>
          </cell>
        </row>
        <row r="130">
          <cell r="D130" t="str">
            <v>Community and social services</v>
          </cell>
          <cell r="E130" t="str">
            <v>Cleansing</v>
          </cell>
          <cell r="O130" t="str">
            <v>New-100</v>
          </cell>
          <cell r="R130" t="str">
            <v>KPA2</v>
          </cell>
        </row>
        <row r="131">
          <cell r="D131" t="str">
            <v>Community and social services</v>
          </cell>
          <cell r="E131" t="str">
            <v>Cleansing</v>
          </cell>
          <cell r="O131" t="str">
            <v>New-100</v>
          </cell>
          <cell r="R131" t="str">
            <v>KPA2</v>
          </cell>
        </row>
        <row r="132">
          <cell r="V132">
            <v>500000</v>
          </cell>
        </row>
        <row r="134">
          <cell r="V134">
            <v>4500000</v>
          </cell>
        </row>
        <row r="136">
          <cell r="V136">
            <v>754958421</v>
          </cell>
        </row>
        <row r="137">
          <cell r="V137">
            <v>-1903000</v>
          </cell>
        </row>
        <row r="138">
          <cell r="V138">
            <v>-9321114</v>
          </cell>
        </row>
        <row r="139">
          <cell r="V139">
            <v>1500000</v>
          </cell>
        </row>
        <row r="140">
          <cell r="V140">
            <v>50000</v>
          </cell>
        </row>
        <row r="141">
          <cell r="V141">
            <v>3000000</v>
          </cell>
        </row>
        <row r="142">
          <cell r="V142">
            <v>748284307</v>
          </cell>
        </row>
        <row r="144">
          <cell r="V144">
            <v>-743784307</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DY208"/>
  <sheetViews>
    <sheetView tabSelected="1" view="pageBreakPreview" topLeftCell="AA1" zoomScale="70" zoomScaleSheetLayoutView="70" workbookViewId="0">
      <pane ySplit="5" topLeftCell="A6" activePane="bottomLeft" state="frozen"/>
      <selection pane="bottomLeft" activeCell="CD15" sqref="CD15"/>
    </sheetView>
  </sheetViews>
  <sheetFormatPr defaultColWidth="9.140625" defaultRowHeight="15.75"/>
  <cols>
    <col min="1" max="1" width="57.7109375" style="99" hidden="1" customWidth="1"/>
    <col min="2" max="2" width="55.140625" style="99" hidden="1" customWidth="1"/>
    <col min="3" max="3" width="61.5703125" style="99" hidden="1" customWidth="1"/>
    <col min="4" max="4" width="36.5703125" style="99" hidden="1" customWidth="1"/>
    <col min="5" max="5" width="21.7109375" style="100" hidden="1" customWidth="1"/>
    <col min="6" max="6" width="3.7109375" style="100" hidden="1" customWidth="1"/>
    <col min="7" max="7" width="4.7109375" style="100" hidden="1" customWidth="1"/>
    <col min="8" max="8" width="6.7109375" style="100" hidden="1" customWidth="1"/>
    <col min="9" max="9" width="33.140625" style="99" hidden="1" customWidth="1"/>
    <col min="10" max="10" width="28.42578125" style="99" hidden="1" customWidth="1"/>
    <col min="11" max="12" width="10.7109375" style="100" hidden="1" customWidth="1"/>
    <col min="13" max="13" width="10.7109375" style="405" hidden="1" customWidth="1"/>
    <col min="14" max="19" width="11" style="100" hidden="1" customWidth="1"/>
    <col min="20" max="20" width="15" style="99" hidden="1" customWidth="1"/>
    <col min="21" max="21" width="17.140625" style="99" hidden="1" customWidth="1"/>
    <col min="22" max="22" width="14.28515625" style="99" hidden="1" customWidth="1"/>
    <col min="23" max="23" width="28.28515625" style="1" hidden="1" customWidth="1"/>
    <col min="24" max="24" width="40.5703125" style="1" hidden="1" customWidth="1"/>
    <col min="25" max="25" width="14.42578125" style="90" hidden="1" customWidth="1"/>
    <col min="26" max="26" width="152.5703125" style="90" hidden="1" customWidth="1"/>
    <col min="27" max="27" width="71.7109375" style="101" bestFit="1" customWidth="1"/>
    <col min="28" max="28" width="18.7109375" style="99" customWidth="1"/>
    <col min="29" max="29" width="39.5703125" style="102" hidden="1" customWidth="1"/>
    <col min="30" max="30" width="21.42578125" style="102" hidden="1" customWidth="1"/>
    <col min="31" max="31" width="52.140625" style="103" hidden="1" customWidth="1"/>
    <col min="32" max="32" width="22.85546875" style="103" hidden="1" customWidth="1"/>
    <col min="33" max="33" width="30.28515625" style="103" hidden="1" customWidth="1"/>
    <col min="34" max="34" width="22.85546875" style="103" hidden="1" customWidth="1"/>
    <col min="35" max="35" width="24" style="103" hidden="1" customWidth="1"/>
    <col min="36" max="36" width="16.7109375" style="254" hidden="1" customWidth="1"/>
    <col min="37" max="37" width="15.5703125" style="105" customWidth="1"/>
    <col min="38" max="38" width="17.85546875" style="105" hidden="1" customWidth="1"/>
    <col min="39" max="39" width="15.7109375" style="105" hidden="1" customWidth="1"/>
    <col min="40" max="40" width="15.7109375" style="105" customWidth="1"/>
    <col min="41" max="41" width="21.7109375" style="105" hidden="1" customWidth="1"/>
    <col min="42" max="73" width="15.7109375" style="105" hidden="1" customWidth="1"/>
    <col min="74" max="74" width="17" style="105" hidden="1" customWidth="1"/>
    <col min="75" max="75" width="0.28515625" style="105" customWidth="1"/>
    <col min="76" max="76" width="17" style="105" customWidth="1"/>
    <col min="77" max="77" width="20.140625" style="105" hidden="1" customWidth="1"/>
    <col min="78" max="78" width="16.5703125" style="105" hidden="1" customWidth="1"/>
    <col min="79" max="79" width="16.42578125" style="105" customWidth="1"/>
    <col min="80" max="80" width="16.5703125" style="105" hidden="1" customWidth="1"/>
    <col min="81" max="81" width="16.5703125" style="105" customWidth="1"/>
    <col min="82" max="82" width="90.85546875" style="105" customWidth="1"/>
    <col min="83" max="83" width="15.7109375" style="102" hidden="1" customWidth="1"/>
    <col min="84" max="86" width="15.7109375" style="103" hidden="1" customWidth="1"/>
    <col min="87" max="87" width="24.85546875" style="102" hidden="1" customWidth="1"/>
    <col min="88" max="88" width="38" style="102" hidden="1" customWidth="1"/>
    <col min="89" max="89" width="28.140625" style="102" hidden="1" customWidth="1"/>
    <col min="90" max="90" width="42.85546875" style="104" hidden="1" customWidth="1"/>
    <col min="91" max="91" width="33.28515625" style="102" hidden="1" customWidth="1"/>
    <col min="92" max="92" width="11.42578125" style="102" hidden="1" customWidth="1"/>
    <col min="93" max="93" width="47.28515625" style="105" hidden="1" customWidth="1"/>
    <col min="94" max="94" width="48.7109375" style="103" hidden="1" customWidth="1"/>
    <col min="95" max="95" width="48.42578125" style="103" hidden="1" customWidth="1"/>
    <col min="96" max="96" width="29.42578125" style="102" hidden="1" customWidth="1"/>
    <col min="97" max="97" width="11.42578125" style="102" hidden="1" customWidth="1"/>
    <col min="98" max="98" width="43.42578125" style="102" hidden="1" customWidth="1"/>
    <col min="99" max="99" width="32.42578125" style="102" hidden="1" customWidth="1"/>
    <col min="100" max="100" width="11.42578125" style="102" hidden="1" customWidth="1"/>
    <col min="101" max="101" width="46" style="102" hidden="1" customWidth="1"/>
    <col min="102" max="102" width="32.140625" style="102" hidden="1" customWidth="1"/>
    <col min="103" max="103" width="11.42578125" style="102" hidden="1" customWidth="1"/>
    <col min="104" max="104" width="46" style="102" hidden="1" customWidth="1"/>
    <col min="105" max="105" width="29.5703125" style="102" hidden="1" customWidth="1"/>
    <col min="106" max="106" width="43.5703125" style="102" hidden="1" customWidth="1"/>
    <col min="107" max="107" width="31" style="102" hidden="1" customWidth="1"/>
    <col min="108" max="108" width="44.85546875" style="102" hidden="1" customWidth="1"/>
    <col min="109" max="109" width="27.140625" style="102" hidden="1" customWidth="1"/>
    <col min="110" max="110" width="41" style="102" hidden="1" customWidth="1"/>
    <col min="111" max="111" width="24.7109375" style="102" hidden="1" customWidth="1"/>
    <col min="112" max="112" width="38.7109375" style="102" hidden="1" customWidth="1"/>
    <col min="113" max="113" width="24.140625" style="102" hidden="1" customWidth="1"/>
    <col min="114" max="114" width="38.85546875" style="102" hidden="1" customWidth="1"/>
    <col min="115" max="115" width="25.140625" style="102" hidden="1" customWidth="1"/>
    <col min="116" max="116" width="39.85546875" style="102" hidden="1" customWidth="1"/>
    <col min="117" max="117" width="37.85546875" style="102" hidden="1" customWidth="1"/>
    <col min="118" max="118" width="23.5703125" style="106" hidden="1" customWidth="1"/>
    <col min="119" max="119" width="38.28515625" style="107" hidden="1" customWidth="1"/>
    <col min="120" max="120" width="74.42578125" style="103" hidden="1" customWidth="1"/>
    <col min="121" max="121" width="24.28515625" style="102" hidden="1" customWidth="1"/>
    <col min="122" max="122" width="38.140625" style="105" hidden="1" customWidth="1"/>
    <col min="123" max="123" width="19.28515625" style="102" hidden="1" customWidth="1"/>
    <col min="124" max="124" width="20.7109375" style="105" hidden="1" customWidth="1"/>
    <col min="125" max="125" width="13.85546875" style="105" hidden="1" customWidth="1"/>
    <col min="126" max="126" width="13.7109375" style="105" hidden="1" customWidth="1"/>
    <col min="127" max="127" width="15.7109375" style="105" hidden="1" customWidth="1"/>
    <col min="128" max="128" width="75.7109375" style="109" hidden="1" customWidth="1"/>
    <col min="129" max="129" width="13.7109375" style="337" hidden="1" customWidth="1"/>
    <col min="130" max="16384" width="9.140625" style="84"/>
  </cols>
  <sheetData>
    <row r="1" spans="1:129" s="425" customFormat="1" ht="18">
      <c r="A1" s="430"/>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51"/>
      <c r="AB1" s="430"/>
      <c r="AC1" s="430"/>
      <c r="AD1" s="430"/>
      <c r="AE1" s="430"/>
      <c r="AF1" s="430"/>
      <c r="AG1" s="430"/>
      <c r="AH1" s="430"/>
      <c r="AI1" s="430"/>
      <c r="AJ1" s="430"/>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31"/>
      <c r="BN1" s="431"/>
      <c r="BO1" s="431"/>
      <c r="BP1" s="431"/>
      <c r="BQ1" s="431"/>
      <c r="BR1" s="431"/>
      <c r="BS1" s="431"/>
      <c r="BT1" s="431"/>
      <c r="BU1" s="431"/>
      <c r="BV1" s="431"/>
      <c r="BW1" s="431"/>
      <c r="BX1" s="431"/>
      <c r="BY1" s="431"/>
      <c r="BZ1" s="431"/>
      <c r="CA1" s="431"/>
      <c r="CB1" s="431"/>
      <c r="CC1" s="431"/>
      <c r="CD1" s="451" t="s">
        <v>617</v>
      </c>
      <c r="CE1" s="430"/>
      <c r="CF1" s="430"/>
      <c r="CG1" s="430"/>
      <c r="CH1" s="430"/>
      <c r="CI1" s="430"/>
      <c r="CJ1" s="430"/>
      <c r="CK1" s="430"/>
      <c r="CL1" s="430"/>
      <c r="CM1" s="430"/>
      <c r="CN1" s="430"/>
      <c r="CO1" s="430"/>
      <c r="CP1" s="430"/>
      <c r="CQ1" s="430"/>
      <c r="CR1" s="430"/>
      <c r="CS1" s="430"/>
      <c r="CT1" s="430"/>
      <c r="CU1" s="430"/>
      <c r="CV1" s="430"/>
      <c r="CW1" s="430"/>
      <c r="CX1" s="432"/>
      <c r="CY1" s="432"/>
      <c r="CZ1" s="430"/>
      <c r="DA1" s="430"/>
      <c r="DB1" s="430"/>
      <c r="DC1" s="430"/>
      <c r="DD1" s="430"/>
      <c r="DE1" s="430"/>
      <c r="DF1" s="430"/>
      <c r="DG1" s="430"/>
      <c r="DH1" s="430"/>
      <c r="DI1" s="430"/>
      <c r="DJ1" s="430"/>
      <c r="DK1" s="430"/>
      <c r="DL1" s="430"/>
      <c r="DM1" s="430"/>
      <c r="DN1" s="433"/>
      <c r="DO1" s="433"/>
      <c r="DP1" s="434"/>
      <c r="DQ1" s="430"/>
      <c r="DR1" s="430"/>
      <c r="DS1" s="430"/>
      <c r="DT1" s="430"/>
      <c r="DU1" s="432"/>
      <c r="DV1" s="432"/>
      <c r="DW1" s="432"/>
      <c r="DX1" s="435"/>
      <c r="DY1" s="424"/>
    </row>
    <row r="2" spans="1:129" s="425" customFormat="1" ht="18">
      <c r="A2" s="503" t="s">
        <v>453</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430"/>
      <c r="CF2" s="430"/>
      <c r="CG2" s="430"/>
      <c r="CH2" s="430"/>
      <c r="CI2" s="430"/>
      <c r="CJ2" s="430"/>
      <c r="CK2" s="430"/>
      <c r="CL2" s="430"/>
      <c r="CM2" s="430"/>
      <c r="CN2" s="430"/>
      <c r="CO2" s="430"/>
      <c r="CP2" s="430"/>
      <c r="CQ2" s="430"/>
      <c r="CR2" s="430"/>
      <c r="CS2" s="430"/>
      <c r="CT2" s="430"/>
      <c r="CU2" s="430"/>
      <c r="CV2" s="430"/>
      <c r="CW2" s="430"/>
      <c r="CX2" s="432"/>
      <c r="CY2" s="432"/>
      <c r="CZ2" s="430"/>
      <c r="DA2" s="430"/>
      <c r="DB2" s="430"/>
      <c r="DC2" s="430"/>
      <c r="DD2" s="430"/>
      <c r="DE2" s="430"/>
      <c r="DF2" s="430"/>
      <c r="DG2" s="430"/>
      <c r="DH2" s="430"/>
      <c r="DI2" s="430"/>
      <c r="DJ2" s="430"/>
      <c r="DK2" s="430"/>
      <c r="DL2" s="430"/>
      <c r="DM2" s="430"/>
      <c r="DN2" s="433"/>
      <c r="DO2" s="433"/>
      <c r="DP2" s="434"/>
      <c r="DQ2" s="430"/>
      <c r="DR2" s="430"/>
      <c r="DS2" s="430"/>
      <c r="DT2" s="430"/>
      <c r="DU2" s="432"/>
      <c r="DV2" s="432"/>
      <c r="DW2" s="432"/>
      <c r="DX2" s="435"/>
      <c r="DY2" s="424"/>
    </row>
    <row r="3" spans="1:129" s="425" customFormat="1" ht="18">
      <c r="A3" s="503" t="s">
        <v>591</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CG3" s="504"/>
      <c r="CH3" s="504"/>
      <c r="CI3" s="504"/>
      <c r="CJ3" s="504"/>
      <c r="CK3" s="504"/>
      <c r="CL3" s="504"/>
      <c r="CM3" s="504"/>
      <c r="CN3" s="504"/>
      <c r="CO3" s="504"/>
      <c r="CP3" s="504"/>
      <c r="CQ3" s="504"/>
      <c r="CR3" s="504"/>
      <c r="CS3" s="504"/>
      <c r="CT3" s="504"/>
      <c r="CU3" s="504"/>
      <c r="CV3" s="504"/>
      <c r="CW3" s="504"/>
      <c r="CX3" s="504"/>
      <c r="CY3" s="504"/>
      <c r="CZ3" s="504"/>
      <c r="DA3" s="504"/>
      <c r="DB3" s="504"/>
      <c r="DC3" s="504"/>
      <c r="DD3" s="504"/>
      <c r="DE3" s="504"/>
      <c r="DF3" s="504"/>
      <c r="DG3" s="504"/>
      <c r="DH3" s="504"/>
      <c r="DI3" s="504"/>
      <c r="DJ3" s="504"/>
      <c r="DK3" s="504"/>
      <c r="DL3" s="504"/>
      <c r="DM3" s="504"/>
      <c r="DN3" s="504"/>
      <c r="DO3" s="504"/>
      <c r="DP3" s="504"/>
      <c r="DQ3" s="504"/>
      <c r="DR3" s="504"/>
      <c r="DS3" s="504"/>
      <c r="DT3" s="504"/>
      <c r="DU3" s="505"/>
      <c r="DV3" s="505"/>
      <c r="DW3" s="504"/>
      <c r="DX3" s="504"/>
      <c r="DY3" s="424"/>
    </row>
    <row r="4" spans="1:129" s="427" customFormat="1" ht="18.75" thickBot="1">
      <c r="A4" s="504"/>
      <c r="B4" s="504"/>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504"/>
      <c r="BO4" s="504"/>
      <c r="BP4" s="504"/>
      <c r="BQ4" s="504"/>
      <c r="BR4" s="504"/>
      <c r="BS4" s="504"/>
      <c r="BT4" s="504"/>
      <c r="BU4" s="504"/>
      <c r="BV4" s="504"/>
      <c r="BW4" s="504"/>
      <c r="BX4" s="504"/>
      <c r="BY4" s="504"/>
      <c r="BZ4" s="504"/>
      <c r="CA4" s="504"/>
      <c r="CB4" s="504"/>
      <c r="CC4" s="504"/>
      <c r="CD4" s="504"/>
      <c r="CE4" s="504"/>
      <c r="CF4" s="504"/>
      <c r="CG4" s="504"/>
      <c r="CH4" s="504"/>
      <c r="CI4" s="504"/>
      <c r="CJ4" s="504"/>
      <c r="CK4" s="504"/>
      <c r="CL4" s="504"/>
      <c r="CM4" s="504"/>
      <c r="CN4" s="504"/>
      <c r="CO4" s="504"/>
      <c r="CP4" s="504"/>
      <c r="CQ4" s="504"/>
      <c r="CR4" s="504"/>
      <c r="CS4" s="504"/>
      <c r="CT4" s="504"/>
      <c r="CU4" s="504"/>
      <c r="CV4" s="504"/>
      <c r="CW4" s="504"/>
      <c r="CX4" s="504"/>
      <c r="CY4" s="504"/>
      <c r="CZ4" s="504"/>
      <c r="DA4" s="504"/>
      <c r="DB4" s="504"/>
      <c r="DC4" s="504"/>
      <c r="DD4" s="504"/>
      <c r="DE4" s="504"/>
      <c r="DF4" s="504"/>
      <c r="DG4" s="504"/>
      <c r="DH4" s="504"/>
      <c r="DI4" s="504"/>
      <c r="DJ4" s="504"/>
      <c r="DK4" s="504"/>
      <c r="DL4" s="504"/>
      <c r="DM4" s="504"/>
      <c r="DN4" s="504"/>
      <c r="DO4" s="504"/>
      <c r="DP4" s="504"/>
      <c r="DQ4" s="504"/>
      <c r="DR4" s="504"/>
      <c r="DS4" s="504"/>
      <c r="DT4" s="504"/>
      <c r="DU4" s="505"/>
      <c r="DV4" s="505"/>
      <c r="DW4" s="504"/>
      <c r="DX4" s="504"/>
      <c r="DY4" s="426"/>
    </row>
    <row r="5" spans="1:129" s="429" customFormat="1" ht="96.75" customHeight="1" thickBot="1">
      <c r="A5" s="436" t="s">
        <v>10</v>
      </c>
      <c r="B5" s="437" t="s">
        <v>61</v>
      </c>
      <c r="C5" s="436" t="s">
        <v>224</v>
      </c>
      <c r="D5" s="438" t="s">
        <v>223</v>
      </c>
      <c r="E5" s="439" t="s">
        <v>438</v>
      </c>
      <c r="F5" s="439"/>
      <c r="G5" s="439"/>
      <c r="H5" s="439"/>
      <c r="I5" s="440" t="s">
        <v>12</v>
      </c>
      <c r="J5" s="440" t="s">
        <v>71</v>
      </c>
      <c r="K5" s="441" t="s">
        <v>199</v>
      </c>
      <c r="L5" s="441" t="s">
        <v>199</v>
      </c>
      <c r="M5" s="441" t="s">
        <v>199</v>
      </c>
      <c r="N5" s="441" t="s">
        <v>185</v>
      </c>
      <c r="O5" s="441" t="s">
        <v>185</v>
      </c>
      <c r="P5" s="441" t="s">
        <v>185</v>
      </c>
      <c r="Q5" s="441" t="s">
        <v>185</v>
      </c>
      <c r="R5" s="441" t="s">
        <v>185</v>
      </c>
      <c r="S5" s="441" t="s">
        <v>185</v>
      </c>
      <c r="T5" s="440" t="s">
        <v>25</v>
      </c>
      <c r="U5" s="440" t="s">
        <v>221</v>
      </c>
      <c r="V5" s="440" t="s">
        <v>402</v>
      </c>
      <c r="W5" s="440" t="s">
        <v>23</v>
      </c>
      <c r="X5" s="440" t="s">
        <v>79</v>
      </c>
      <c r="Y5" s="442" t="s">
        <v>22</v>
      </c>
      <c r="Z5" s="443" t="s">
        <v>91</v>
      </c>
      <c r="AA5" s="444" t="s">
        <v>11</v>
      </c>
      <c r="AB5" s="445" t="s">
        <v>432</v>
      </c>
      <c r="AC5" s="446" t="s">
        <v>207</v>
      </c>
      <c r="AD5" s="446" t="s">
        <v>250</v>
      </c>
      <c r="AE5" s="446" t="s">
        <v>251</v>
      </c>
      <c r="AF5" s="446" t="s">
        <v>284</v>
      </c>
      <c r="AG5" s="446" t="s">
        <v>431</v>
      </c>
      <c r="AH5" s="446" t="s">
        <v>291</v>
      </c>
      <c r="AI5" s="446" t="s">
        <v>292</v>
      </c>
      <c r="AJ5" s="448" t="s">
        <v>413</v>
      </c>
      <c r="AK5" s="479" t="s">
        <v>602</v>
      </c>
      <c r="AL5" s="474" t="s">
        <v>589</v>
      </c>
      <c r="AM5" s="448" t="s">
        <v>280</v>
      </c>
      <c r="AN5" s="450" t="s">
        <v>590</v>
      </c>
      <c r="AO5" s="450" t="s">
        <v>592</v>
      </c>
      <c r="AP5" s="450" t="s">
        <v>280</v>
      </c>
      <c r="AQ5" s="450" t="s">
        <v>593</v>
      </c>
      <c r="AR5" s="450" t="s">
        <v>594</v>
      </c>
      <c r="AS5" s="450" t="s">
        <v>280</v>
      </c>
      <c r="AT5" s="450" t="s">
        <v>595</v>
      </c>
      <c r="AU5" s="450" t="s">
        <v>596</v>
      </c>
      <c r="AV5" s="450" t="s">
        <v>280</v>
      </c>
      <c r="AW5" s="450" t="s">
        <v>597</v>
      </c>
      <c r="AX5" s="450" t="s">
        <v>598</v>
      </c>
      <c r="AY5" s="450" t="s">
        <v>280</v>
      </c>
      <c r="AZ5" s="450" t="s">
        <v>599</v>
      </c>
      <c r="BA5" s="450" t="s">
        <v>600</v>
      </c>
      <c r="BB5" s="450" t="s">
        <v>280</v>
      </c>
      <c r="BC5" s="450" t="s">
        <v>601</v>
      </c>
      <c r="BD5" s="450" t="s">
        <v>603</v>
      </c>
      <c r="BE5" s="450" t="s">
        <v>280</v>
      </c>
      <c r="BF5" s="450" t="s">
        <v>604</v>
      </c>
      <c r="BG5" s="450" t="s">
        <v>605</v>
      </c>
      <c r="BH5" s="450" t="s">
        <v>280</v>
      </c>
      <c r="BI5" s="450" t="s">
        <v>606</v>
      </c>
      <c r="BJ5" s="450" t="s">
        <v>607</v>
      </c>
      <c r="BK5" s="450" t="s">
        <v>280</v>
      </c>
      <c r="BL5" s="450" t="s">
        <v>608</v>
      </c>
      <c r="BM5" s="450" t="s">
        <v>610</v>
      </c>
      <c r="BN5" s="450" t="s">
        <v>280</v>
      </c>
      <c r="BO5" s="450" t="s">
        <v>609</v>
      </c>
      <c r="BP5" s="450" t="s">
        <v>611</v>
      </c>
      <c r="BQ5" s="450" t="s">
        <v>280</v>
      </c>
      <c r="BR5" s="450" t="s">
        <v>612</v>
      </c>
      <c r="BS5" s="450" t="s">
        <v>613</v>
      </c>
      <c r="BT5" s="450" t="s">
        <v>280</v>
      </c>
      <c r="BU5" s="450" t="s">
        <v>614</v>
      </c>
      <c r="BV5" s="450" t="s">
        <v>220</v>
      </c>
      <c r="BW5" s="450" t="s">
        <v>203</v>
      </c>
      <c r="BX5" s="450" t="s">
        <v>615</v>
      </c>
      <c r="BY5" s="446" t="s">
        <v>282</v>
      </c>
      <c r="BZ5" s="448" t="s">
        <v>204</v>
      </c>
      <c r="CA5" s="446" t="s">
        <v>275</v>
      </c>
      <c r="CB5" s="446" t="s">
        <v>206</v>
      </c>
      <c r="CC5" s="446" t="s">
        <v>276</v>
      </c>
      <c r="CD5" s="448" t="s">
        <v>205</v>
      </c>
      <c r="CE5" s="447" t="s">
        <v>139</v>
      </c>
      <c r="CF5" s="447" t="s">
        <v>289</v>
      </c>
      <c r="CG5" s="448" t="s">
        <v>434</v>
      </c>
      <c r="CH5" s="448" t="s">
        <v>437</v>
      </c>
      <c r="CI5" s="446" t="s">
        <v>214</v>
      </c>
      <c r="CJ5" s="446" t="s">
        <v>262</v>
      </c>
      <c r="CK5" s="446" t="s">
        <v>208</v>
      </c>
      <c r="CL5" s="446" t="s">
        <v>263</v>
      </c>
      <c r="CM5" s="446" t="s">
        <v>209</v>
      </c>
      <c r="CN5" s="446" t="s">
        <v>280</v>
      </c>
      <c r="CO5" s="446" t="s">
        <v>264</v>
      </c>
      <c r="CP5" s="446" t="s">
        <v>277</v>
      </c>
      <c r="CQ5" s="446" t="s">
        <v>278</v>
      </c>
      <c r="CR5" s="446" t="s">
        <v>210</v>
      </c>
      <c r="CS5" s="446" t="s">
        <v>280</v>
      </c>
      <c r="CT5" s="446" t="s">
        <v>265</v>
      </c>
      <c r="CU5" s="446" t="s">
        <v>211</v>
      </c>
      <c r="CV5" s="446" t="s">
        <v>280</v>
      </c>
      <c r="CW5" s="446" t="s">
        <v>266</v>
      </c>
      <c r="CX5" s="446" t="s">
        <v>212</v>
      </c>
      <c r="CY5" s="446" t="s">
        <v>280</v>
      </c>
      <c r="CZ5" s="446" t="s">
        <v>267</v>
      </c>
      <c r="DA5" s="446" t="s">
        <v>213</v>
      </c>
      <c r="DB5" s="446" t="s">
        <v>268</v>
      </c>
      <c r="DC5" s="446" t="s">
        <v>215</v>
      </c>
      <c r="DD5" s="446" t="s">
        <v>269</v>
      </c>
      <c r="DE5" s="446" t="s">
        <v>216</v>
      </c>
      <c r="DF5" s="446" t="s">
        <v>270</v>
      </c>
      <c r="DG5" s="446" t="s">
        <v>217</v>
      </c>
      <c r="DH5" s="446" t="s">
        <v>271</v>
      </c>
      <c r="DI5" s="446" t="s">
        <v>218</v>
      </c>
      <c r="DJ5" s="446" t="s">
        <v>272</v>
      </c>
      <c r="DK5" s="446" t="s">
        <v>219</v>
      </c>
      <c r="DL5" s="446" t="s">
        <v>273</v>
      </c>
      <c r="DM5" s="446" t="s">
        <v>220</v>
      </c>
      <c r="DN5" s="449" t="s">
        <v>203</v>
      </c>
      <c r="DO5" s="449" t="s">
        <v>274</v>
      </c>
      <c r="DP5" s="446" t="s">
        <v>282</v>
      </c>
      <c r="DQ5" s="446" t="s">
        <v>204</v>
      </c>
      <c r="DR5" s="446" t="s">
        <v>275</v>
      </c>
      <c r="DS5" s="446" t="s">
        <v>206</v>
      </c>
      <c r="DT5" s="446" t="s">
        <v>276</v>
      </c>
      <c r="DU5" s="447" t="s">
        <v>434</v>
      </c>
      <c r="DV5" s="447" t="s">
        <v>437</v>
      </c>
      <c r="DW5" s="447" t="s">
        <v>434</v>
      </c>
      <c r="DX5" s="446" t="s">
        <v>205</v>
      </c>
      <c r="DY5" s="428"/>
    </row>
    <row r="6" spans="1:129" s="1" customFormat="1" ht="21" customHeight="1">
      <c r="A6" s="2" t="s">
        <v>163</v>
      </c>
      <c r="B6" s="3"/>
      <c r="C6" s="2"/>
      <c r="D6" s="3"/>
      <c r="E6" s="3"/>
      <c r="F6" s="3"/>
      <c r="G6" s="3"/>
      <c r="H6" s="3"/>
      <c r="I6" s="3"/>
      <c r="J6" s="4"/>
      <c r="K6" s="3"/>
      <c r="L6" s="3"/>
      <c r="M6" s="45"/>
      <c r="N6" s="3"/>
      <c r="O6" s="3"/>
      <c r="P6" s="3"/>
      <c r="Q6" s="3"/>
      <c r="R6" s="3"/>
      <c r="S6" s="3"/>
      <c r="T6" s="3"/>
      <c r="U6" s="3"/>
      <c r="V6" s="3"/>
      <c r="W6" s="3"/>
      <c r="X6" s="3"/>
      <c r="Y6" s="3"/>
      <c r="Z6" s="398"/>
      <c r="AA6" s="387" t="s">
        <v>770</v>
      </c>
      <c r="AB6" s="3"/>
      <c r="AC6" s="5"/>
      <c r="AD6" s="5"/>
      <c r="AE6" s="5"/>
      <c r="AF6" s="5"/>
      <c r="AG6" s="5"/>
      <c r="AH6" s="5"/>
      <c r="AI6" s="5"/>
      <c r="AJ6" s="469"/>
      <c r="AK6" s="5"/>
      <c r="AL6" s="47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6"/>
      <c r="DO6" s="6"/>
      <c r="DP6" s="7"/>
      <c r="DQ6" s="5"/>
      <c r="DR6" s="5"/>
      <c r="DS6" s="5"/>
      <c r="DT6" s="5"/>
      <c r="DU6" s="5"/>
      <c r="DV6" s="5"/>
      <c r="DW6" s="5"/>
      <c r="DX6" s="27"/>
      <c r="DY6" s="109"/>
    </row>
    <row r="7" spans="1:129" s="1" customFormat="1" ht="30.75">
      <c r="A7" s="8" t="s">
        <v>164</v>
      </c>
      <c r="B7" s="3"/>
      <c r="C7" s="8" t="s">
        <v>623</v>
      </c>
      <c r="D7" s="3"/>
      <c r="E7" s="3">
        <v>105005</v>
      </c>
      <c r="F7" s="406">
        <v>4</v>
      </c>
      <c r="G7" s="412" t="s">
        <v>187</v>
      </c>
      <c r="H7" s="406">
        <v>1501</v>
      </c>
      <c r="I7" s="9" t="s">
        <v>29</v>
      </c>
      <c r="J7" s="258" t="s">
        <v>72</v>
      </c>
      <c r="K7" s="3">
        <v>4</v>
      </c>
      <c r="L7" s="11" t="s">
        <v>187</v>
      </c>
      <c r="M7" s="45"/>
      <c r="N7" s="3" t="s">
        <v>186</v>
      </c>
      <c r="O7" s="11" t="s">
        <v>187</v>
      </c>
      <c r="P7" s="3" t="s">
        <v>187</v>
      </c>
      <c r="Q7" s="3" t="s">
        <v>187</v>
      </c>
      <c r="R7" s="3">
        <v>270</v>
      </c>
      <c r="S7" s="3" t="s">
        <v>188</v>
      </c>
      <c r="T7" s="12" t="s">
        <v>26</v>
      </c>
      <c r="U7" s="12" t="s">
        <v>222</v>
      </c>
      <c r="V7" s="3"/>
      <c r="W7" s="12" t="s">
        <v>5</v>
      </c>
      <c r="X7" s="3"/>
      <c r="Y7" s="13" t="s">
        <v>99</v>
      </c>
      <c r="Z7" s="3" t="s">
        <v>92</v>
      </c>
      <c r="AA7" s="388" t="s">
        <v>293</v>
      </c>
      <c r="AB7" s="12" t="s">
        <v>8</v>
      </c>
      <c r="AC7" s="5"/>
      <c r="AD7" s="5"/>
      <c r="AE7" s="5"/>
      <c r="AF7" s="5"/>
      <c r="AG7" s="7">
        <f>AE7+AF7</f>
        <v>0</v>
      </c>
      <c r="AH7" s="7"/>
      <c r="AI7" s="7">
        <f>+AG7+AH7</f>
        <v>0</v>
      </c>
      <c r="AJ7" s="62"/>
      <c r="AK7" s="7">
        <v>500000</v>
      </c>
      <c r="AL7" s="33">
        <v>0</v>
      </c>
      <c r="AM7" s="7">
        <v>0</v>
      </c>
      <c r="AN7" s="7">
        <f>AL7+AM7</f>
        <v>0</v>
      </c>
      <c r="AO7" s="7"/>
      <c r="AP7" s="7"/>
      <c r="AQ7" s="7">
        <f>AO7+AP7</f>
        <v>0</v>
      </c>
      <c r="AR7" s="7"/>
      <c r="AS7" s="7"/>
      <c r="AT7" s="7">
        <f>AR7+AS7</f>
        <v>0</v>
      </c>
      <c r="AU7" s="7"/>
      <c r="AV7" s="7"/>
      <c r="AW7" s="7">
        <f>AU7+AV7</f>
        <v>0</v>
      </c>
      <c r="AX7" s="7"/>
      <c r="AY7" s="7"/>
      <c r="AZ7" s="7">
        <f>AX7+AY7</f>
        <v>0</v>
      </c>
      <c r="BA7" s="7"/>
      <c r="BB7" s="7"/>
      <c r="BC7" s="7">
        <f>BA7+BB7</f>
        <v>0</v>
      </c>
      <c r="BD7" s="7"/>
      <c r="BE7" s="7"/>
      <c r="BF7" s="7">
        <f>BD7+BE7</f>
        <v>0</v>
      </c>
      <c r="BG7" s="7"/>
      <c r="BH7" s="7"/>
      <c r="BI7" s="7">
        <f>BG7+BH7</f>
        <v>0</v>
      </c>
      <c r="BJ7" s="7"/>
      <c r="BK7" s="7"/>
      <c r="BL7" s="7">
        <f>BJ7+BK7</f>
        <v>0</v>
      </c>
      <c r="BM7" s="7"/>
      <c r="BN7" s="7"/>
      <c r="BO7" s="7">
        <f>BM7+BN7</f>
        <v>0</v>
      </c>
      <c r="BP7" s="7"/>
      <c r="BQ7" s="7"/>
      <c r="BR7" s="7">
        <f>BP7+BQ7</f>
        <v>0</v>
      </c>
      <c r="BS7" s="7"/>
      <c r="BT7" s="7"/>
      <c r="BU7" s="7">
        <f>BS7+BT7</f>
        <v>0</v>
      </c>
      <c r="BV7" s="7">
        <v>0</v>
      </c>
      <c r="BW7" s="7">
        <f>AL7+AO7+AR7++AU7+AX7+BA7+BD7+BG7+BJ7+BM7+BP7+BS7</f>
        <v>0</v>
      </c>
      <c r="BX7" s="7">
        <f>AN7+AQ7+AT7+AW7+AZ7+BC7+BF7+BI7+BL7+BO7+BR7+BU7</f>
        <v>0</v>
      </c>
      <c r="BY7" s="7"/>
      <c r="BZ7" s="7">
        <f>AK7-BW7</f>
        <v>500000</v>
      </c>
      <c r="CA7" s="7">
        <f>AK7-BX7</f>
        <v>500000</v>
      </c>
      <c r="CB7" s="15">
        <f>BW7/AK7</f>
        <v>0</v>
      </c>
      <c r="CC7" s="15">
        <f>BX7/AK7</f>
        <v>0</v>
      </c>
      <c r="CD7" s="489" t="s">
        <v>766</v>
      </c>
      <c r="CE7" s="7">
        <v>500000</v>
      </c>
      <c r="CF7" s="7">
        <v>500000</v>
      </c>
      <c r="CG7" s="7"/>
      <c r="CH7" s="7"/>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6"/>
      <c r="DO7" s="6"/>
      <c r="DP7" s="7"/>
      <c r="DQ7" s="5"/>
      <c r="DR7" s="5"/>
      <c r="DS7" s="5"/>
      <c r="DT7" s="5"/>
      <c r="DU7" s="5"/>
      <c r="DV7" s="5"/>
      <c r="DW7" s="5"/>
      <c r="DX7" s="27"/>
      <c r="DY7" s="109"/>
    </row>
    <row r="8" spans="1:129" s="1" customFormat="1" ht="16.5" customHeight="1" thickBot="1">
      <c r="A8" s="16"/>
      <c r="B8" s="16"/>
      <c r="C8" s="16"/>
      <c r="D8" s="16"/>
      <c r="E8" s="16"/>
      <c r="F8" s="16"/>
      <c r="G8" s="16"/>
      <c r="H8" s="16"/>
      <c r="I8" s="16"/>
      <c r="J8" s="17"/>
      <c r="K8" s="16"/>
      <c r="L8" s="16"/>
      <c r="M8" s="57"/>
      <c r="N8" s="16"/>
      <c r="O8" s="16"/>
      <c r="P8" s="16"/>
      <c r="Q8" s="16"/>
      <c r="R8" s="16"/>
      <c r="S8" s="16"/>
      <c r="T8" s="16"/>
      <c r="U8" s="16"/>
      <c r="V8" s="16"/>
      <c r="W8" s="16"/>
      <c r="X8" s="16"/>
      <c r="Y8" s="16"/>
      <c r="Z8" s="16"/>
      <c r="AA8" s="55" t="s">
        <v>60</v>
      </c>
      <c r="AB8" s="19"/>
      <c r="AC8" s="20" t="e">
        <f>SUM(#REF!)</f>
        <v>#REF!</v>
      </c>
      <c r="AD8" s="20" t="e">
        <f>SUM(#REF!)</f>
        <v>#REF!</v>
      </c>
      <c r="AE8" s="20" t="e">
        <f>SUM(#REF!)</f>
        <v>#REF!</v>
      </c>
      <c r="AF8" s="20" t="e">
        <f>SUM(#REF!)</f>
        <v>#REF!</v>
      </c>
      <c r="AG8" s="20">
        <f t="shared" ref="AG8:DO8" si="0">SUM(AG7:AG7)</f>
        <v>0</v>
      </c>
      <c r="AH8" s="20">
        <f t="shared" si="0"/>
        <v>0</v>
      </c>
      <c r="AI8" s="20">
        <f t="shared" si="0"/>
        <v>0</v>
      </c>
      <c r="AJ8" s="470">
        <f t="shared" si="0"/>
        <v>0</v>
      </c>
      <c r="AK8" s="20">
        <f t="shared" si="0"/>
        <v>500000</v>
      </c>
      <c r="AL8" s="476">
        <f>SUM(AL7)</f>
        <v>0</v>
      </c>
      <c r="AM8" s="20">
        <f t="shared" ref="AM8:CA8" si="1">SUM(AM7)</f>
        <v>0</v>
      </c>
      <c r="AN8" s="20">
        <f t="shared" si="1"/>
        <v>0</v>
      </c>
      <c r="AO8" s="20">
        <f t="shared" si="1"/>
        <v>0</v>
      </c>
      <c r="AP8" s="20">
        <f t="shared" si="1"/>
        <v>0</v>
      </c>
      <c r="AQ8" s="20">
        <f t="shared" si="1"/>
        <v>0</v>
      </c>
      <c r="AR8" s="20">
        <f t="shared" si="1"/>
        <v>0</v>
      </c>
      <c r="AS8" s="20">
        <f t="shared" si="1"/>
        <v>0</v>
      </c>
      <c r="AT8" s="20">
        <f t="shared" si="1"/>
        <v>0</v>
      </c>
      <c r="AU8" s="20">
        <f t="shared" si="1"/>
        <v>0</v>
      </c>
      <c r="AV8" s="20">
        <f t="shared" si="1"/>
        <v>0</v>
      </c>
      <c r="AW8" s="20">
        <f t="shared" si="1"/>
        <v>0</v>
      </c>
      <c r="AX8" s="20">
        <f t="shared" si="1"/>
        <v>0</v>
      </c>
      <c r="AY8" s="20">
        <f t="shared" si="1"/>
        <v>0</v>
      </c>
      <c r="AZ8" s="20">
        <f t="shared" si="1"/>
        <v>0</v>
      </c>
      <c r="BA8" s="20">
        <f t="shared" si="1"/>
        <v>0</v>
      </c>
      <c r="BB8" s="20">
        <f t="shared" si="1"/>
        <v>0</v>
      </c>
      <c r="BC8" s="20">
        <f t="shared" si="1"/>
        <v>0</v>
      </c>
      <c r="BD8" s="20">
        <f t="shared" si="1"/>
        <v>0</v>
      </c>
      <c r="BE8" s="20">
        <f t="shared" si="1"/>
        <v>0</v>
      </c>
      <c r="BF8" s="20">
        <f t="shared" si="1"/>
        <v>0</v>
      </c>
      <c r="BG8" s="20">
        <f t="shared" si="1"/>
        <v>0</v>
      </c>
      <c r="BH8" s="20">
        <f t="shared" si="1"/>
        <v>0</v>
      </c>
      <c r="BI8" s="20">
        <f t="shared" si="1"/>
        <v>0</v>
      </c>
      <c r="BJ8" s="20">
        <f t="shared" si="1"/>
        <v>0</v>
      </c>
      <c r="BK8" s="20">
        <f t="shared" si="1"/>
        <v>0</v>
      </c>
      <c r="BL8" s="20">
        <f t="shared" si="1"/>
        <v>0</v>
      </c>
      <c r="BM8" s="20">
        <f t="shared" si="1"/>
        <v>0</v>
      </c>
      <c r="BN8" s="20">
        <f t="shared" si="1"/>
        <v>0</v>
      </c>
      <c r="BO8" s="20">
        <f t="shared" si="1"/>
        <v>0</v>
      </c>
      <c r="BP8" s="20">
        <f t="shared" si="1"/>
        <v>0</v>
      </c>
      <c r="BQ8" s="20">
        <f t="shared" si="1"/>
        <v>0</v>
      </c>
      <c r="BR8" s="20">
        <f t="shared" si="1"/>
        <v>0</v>
      </c>
      <c r="BS8" s="20">
        <f t="shared" si="1"/>
        <v>0</v>
      </c>
      <c r="BT8" s="20">
        <f t="shared" si="1"/>
        <v>0</v>
      </c>
      <c r="BU8" s="20">
        <f t="shared" si="1"/>
        <v>0</v>
      </c>
      <c r="BV8" s="20">
        <f t="shared" si="1"/>
        <v>0</v>
      </c>
      <c r="BW8" s="20">
        <f t="shared" si="1"/>
        <v>0</v>
      </c>
      <c r="BX8" s="20">
        <f t="shared" si="1"/>
        <v>0</v>
      </c>
      <c r="BY8" s="20">
        <f t="shared" si="1"/>
        <v>0</v>
      </c>
      <c r="BZ8" s="20">
        <f t="shared" si="1"/>
        <v>500000</v>
      </c>
      <c r="CA8" s="20">
        <f t="shared" si="1"/>
        <v>500000</v>
      </c>
      <c r="CB8" s="21">
        <f t="shared" ref="CB8:CB61" si="2">BW8/AK8</f>
        <v>0</v>
      </c>
      <c r="CC8" s="21">
        <f t="shared" ref="CC8:CC61" si="3">BX8/AK8</f>
        <v>0</v>
      </c>
      <c r="CD8" s="489"/>
      <c r="CE8" s="20">
        <f t="shared" si="0"/>
        <v>500000</v>
      </c>
      <c r="CF8" s="20">
        <f t="shared" si="0"/>
        <v>500000</v>
      </c>
      <c r="CG8" s="20">
        <f t="shared" si="0"/>
        <v>0</v>
      </c>
      <c r="CH8" s="20">
        <f t="shared" si="0"/>
        <v>0</v>
      </c>
      <c r="CI8" s="20">
        <f t="shared" si="0"/>
        <v>0</v>
      </c>
      <c r="CJ8" s="20">
        <f t="shared" si="0"/>
        <v>0</v>
      </c>
      <c r="CK8" s="20">
        <f t="shared" si="0"/>
        <v>0</v>
      </c>
      <c r="CL8" s="20">
        <f t="shared" si="0"/>
        <v>0</v>
      </c>
      <c r="CM8" s="20">
        <f t="shared" si="0"/>
        <v>0</v>
      </c>
      <c r="CN8" s="20">
        <f t="shared" si="0"/>
        <v>0</v>
      </c>
      <c r="CO8" s="20">
        <f t="shared" si="0"/>
        <v>0</v>
      </c>
      <c r="CP8" s="20">
        <f t="shared" si="0"/>
        <v>0</v>
      </c>
      <c r="CQ8" s="20">
        <f t="shared" si="0"/>
        <v>0</v>
      </c>
      <c r="CR8" s="20">
        <f t="shared" si="0"/>
        <v>0</v>
      </c>
      <c r="CS8" s="20">
        <f t="shared" si="0"/>
        <v>0</v>
      </c>
      <c r="CT8" s="20">
        <f t="shared" si="0"/>
        <v>0</v>
      </c>
      <c r="CU8" s="20">
        <f t="shared" si="0"/>
        <v>0</v>
      </c>
      <c r="CV8" s="20">
        <f t="shared" si="0"/>
        <v>0</v>
      </c>
      <c r="CW8" s="20">
        <f t="shared" si="0"/>
        <v>0</v>
      </c>
      <c r="CX8" s="20">
        <f t="shared" si="0"/>
        <v>0</v>
      </c>
      <c r="CY8" s="20">
        <f t="shared" si="0"/>
        <v>0</v>
      </c>
      <c r="CZ8" s="20">
        <f t="shared" si="0"/>
        <v>0</v>
      </c>
      <c r="DA8" s="20">
        <f t="shared" si="0"/>
        <v>0</v>
      </c>
      <c r="DB8" s="20">
        <f t="shared" si="0"/>
        <v>0</v>
      </c>
      <c r="DC8" s="20">
        <f t="shared" si="0"/>
        <v>0</v>
      </c>
      <c r="DD8" s="20">
        <f t="shared" si="0"/>
        <v>0</v>
      </c>
      <c r="DE8" s="20">
        <f t="shared" si="0"/>
        <v>0</v>
      </c>
      <c r="DF8" s="20">
        <f t="shared" si="0"/>
        <v>0</v>
      </c>
      <c r="DG8" s="20">
        <f t="shared" si="0"/>
        <v>0</v>
      </c>
      <c r="DH8" s="20">
        <f t="shared" si="0"/>
        <v>0</v>
      </c>
      <c r="DI8" s="20">
        <f t="shared" si="0"/>
        <v>0</v>
      </c>
      <c r="DJ8" s="20">
        <f t="shared" si="0"/>
        <v>0</v>
      </c>
      <c r="DK8" s="20">
        <f t="shared" si="0"/>
        <v>0</v>
      </c>
      <c r="DL8" s="20">
        <f t="shared" si="0"/>
        <v>0</v>
      </c>
      <c r="DM8" s="20">
        <f t="shared" si="0"/>
        <v>0</v>
      </c>
      <c r="DN8" s="20">
        <f t="shared" si="0"/>
        <v>0</v>
      </c>
      <c r="DO8" s="20">
        <f t="shared" si="0"/>
        <v>0</v>
      </c>
      <c r="DP8" s="20" t="e">
        <f>SUM(#REF!)</f>
        <v>#REF!</v>
      </c>
      <c r="DQ8" s="20" t="e">
        <f>SUM(#REF!)</f>
        <v>#REF!</v>
      </c>
      <c r="DR8" s="20" t="e">
        <f>SUM(#REF!)</f>
        <v>#REF!</v>
      </c>
      <c r="DS8" s="21" t="e">
        <f>DN8/AG8</f>
        <v>#DIV/0!</v>
      </c>
      <c r="DT8" s="21" t="e">
        <f>DO8/AG8</f>
        <v>#DIV/0!</v>
      </c>
      <c r="DU8" s="21"/>
      <c r="DV8" s="21"/>
      <c r="DW8" s="20">
        <f>SUM(DW7:DW7)</f>
        <v>0</v>
      </c>
      <c r="DX8" s="42"/>
      <c r="DY8" s="109"/>
    </row>
    <row r="9" spans="1:129" s="1" customFormat="1" ht="15.75" customHeight="1" thickTop="1">
      <c r="A9" s="3"/>
      <c r="B9" s="3"/>
      <c r="C9" s="3"/>
      <c r="D9" s="3"/>
      <c r="E9" s="3"/>
      <c r="F9" s="3"/>
      <c r="G9" s="3"/>
      <c r="H9" s="3"/>
      <c r="I9" s="3"/>
      <c r="J9" s="4"/>
      <c r="K9" s="3"/>
      <c r="L9" s="3"/>
      <c r="M9" s="45"/>
      <c r="N9" s="3"/>
      <c r="O9" s="3"/>
      <c r="P9" s="3"/>
      <c r="Q9" s="3"/>
      <c r="R9" s="3"/>
      <c r="S9" s="3"/>
      <c r="T9" s="3"/>
      <c r="U9" s="3"/>
      <c r="V9" s="3"/>
      <c r="W9" s="3"/>
      <c r="X9" s="3"/>
      <c r="Y9" s="3"/>
      <c r="Z9" s="3"/>
      <c r="AA9" s="499"/>
      <c r="AB9" s="388"/>
      <c r="AC9" s="7"/>
      <c r="AD9" s="7"/>
      <c r="AE9" s="7"/>
      <c r="AF9" s="7"/>
      <c r="AG9" s="7"/>
      <c r="AH9" s="7"/>
      <c r="AI9" s="7"/>
      <c r="AJ9" s="62"/>
      <c r="AK9" s="7"/>
      <c r="AL9" s="33"/>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15"/>
      <c r="CC9" s="15"/>
      <c r="CD9" s="489"/>
      <c r="CE9" s="7"/>
      <c r="CF9" s="7"/>
      <c r="CG9" s="7"/>
      <c r="CH9" s="7"/>
      <c r="CI9" s="7"/>
      <c r="CJ9" s="7"/>
      <c r="CK9" s="7"/>
      <c r="CL9" s="7"/>
      <c r="CM9" s="7"/>
      <c r="CN9" s="7"/>
      <c r="CO9" s="7"/>
      <c r="CP9" s="7"/>
      <c r="CQ9" s="7"/>
      <c r="CR9" s="7"/>
      <c r="CS9" s="7"/>
      <c r="CT9" s="7"/>
      <c r="CU9" s="7"/>
      <c r="CV9" s="7"/>
      <c r="CW9" s="7"/>
      <c r="CX9" s="7"/>
      <c r="CY9" s="7"/>
      <c r="CZ9" s="7"/>
      <c r="DA9" s="7"/>
      <c r="DB9" s="7">
        <f>DA9</f>
        <v>0</v>
      </c>
      <c r="DC9" s="7"/>
      <c r="DD9" s="7">
        <f>DC9</f>
        <v>0</v>
      </c>
      <c r="DE9" s="7"/>
      <c r="DF9" s="7">
        <f>DE9</f>
        <v>0</v>
      </c>
      <c r="DG9" s="7"/>
      <c r="DH9" s="7">
        <f>DG9</f>
        <v>0</v>
      </c>
      <c r="DI9" s="7"/>
      <c r="DJ9" s="7">
        <f>DI9</f>
        <v>0</v>
      </c>
      <c r="DK9" s="7"/>
      <c r="DL9" s="7">
        <f>DK9</f>
        <v>0</v>
      </c>
      <c r="DM9" s="7"/>
      <c r="DN9" s="14"/>
      <c r="DO9" s="14"/>
      <c r="DP9" s="7"/>
      <c r="DQ9" s="7"/>
      <c r="DR9" s="7"/>
      <c r="DS9" s="15"/>
      <c r="DT9" s="15"/>
      <c r="DU9" s="15"/>
      <c r="DV9" s="15"/>
      <c r="DW9" s="7"/>
      <c r="DX9" s="27"/>
      <c r="DY9" s="109"/>
    </row>
    <row r="10" spans="1:129" s="1" customFormat="1" ht="15.75" customHeight="1">
      <c r="A10" s="22" t="s">
        <v>135</v>
      </c>
      <c r="B10" s="23"/>
      <c r="C10" s="22"/>
      <c r="D10" s="23"/>
      <c r="E10" s="3"/>
      <c r="F10" s="3"/>
      <c r="G10" s="3"/>
      <c r="H10" s="3"/>
      <c r="I10" s="12"/>
      <c r="J10" s="24"/>
      <c r="K10" s="3"/>
      <c r="L10" s="3"/>
      <c r="M10" s="45"/>
      <c r="N10" s="3"/>
      <c r="O10" s="3"/>
      <c r="P10" s="3"/>
      <c r="Q10" s="3"/>
      <c r="R10" s="3"/>
      <c r="S10" s="3"/>
      <c r="T10" s="12"/>
      <c r="U10" s="12"/>
      <c r="V10" s="12"/>
      <c r="W10" s="12"/>
      <c r="X10" s="12"/>
      <c r="Y10" s="25"/>
      <c r="Z10" s="497"/>
      <c r="AA10" s="500" t="s">
        <v>771</v>
      </c>
      <c r="AB10" s="9"/>
      <c r="AC10" s="7"/>
      <c r="AD10" s="7"/>
      <c r="AE10" s="7"/>
      <c r="AF10" s="7"/>
      <c r="AG10" s="7"/>
      <c r="AH10" s="7"/>
      <c r="AI10" s="7"/>
      <c r="AJ10" s="62"/>
      <c r="AK10" s="7"/>
      <c r="AL10" s="33"/>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15"/>
      <c r="CC10" s="15"/>
      <c r="CD10" s="489"/>
      <c r="CE10" s="7"/>
      <c r="CF10" s="7"/>
      <c r="CG10" s="7"/>
      <c r="CH10" s="7"/>
      <c r="CI10" s="7"/>
      <c r="CJ10" s="7"/>
      <c r="CK10" s="7"/>
      <c r="CL10" s="7"/>
      <c r="CM10" s="7"/>
      <c r="CN10" s="7"/>
      <c r="CO10" s="7"/>
      <c r="CP10" s="7"/>
      <c r="CQ10" s="7"/>
      <c r="CR10" s="7"/>
      <c r="CS10" s="7"/>
      <c r="CT10" s="7"/>
      <c r="CU10" s="7"/>
      <c r="CV10" s="7"/>
      <c r="CW10" s="7"/>
      <c r="CX10" s="7"/>
      <c r="CY10" s="7"/>
      <c r="CZ10" s="7"/>
      <c r="DA10" s="7"/>
      <c r="DB10" s="7">
        <f>DA10</f>
        <v>0</v>
      </c>
      <c r="DC10" s="7"/>
      <c r="DD10" s="7">
        <f>DC10</f>
        <v>0</v>
      </c>
      <c r="DE10" s="7"/>
      <c r="DF10" s="7">
        <f>DE10</f>
        <v>0</v>
      </c>
      <c r="DG10" s="7"/>
      <c r="DH10" s="7">
        <f>DG10</f>
        <v>0</v>
      </c>
      <c r="DI10" s="7"/>
      <c r="DJ10" s="7">
        <f>DI10</f>
        <v>0</v>
      </c>
      <c r="DK10" s="7"/>
      <c r="DL10" s="7">
        <f>DK10</f>
        <v>0</v>
      </c>
      <c r="DM10" s="7"/>
      <c r="DN10" s="14"/>
      <c r="DO10" s="14"/>
      <c r="DP10" s="7"/>
      <c r="DQ10" s="7"/>
      <c r="DR10" s="7"/>
      <c r="DS10" s="15"/>
      <c r="DT10" s="15"/>
      <c r="DU10" s="15"/>
      <c r="DV10" s="15"/>
      <c r="DW10" s="7"/>
      <c r="DX10" s="27"/>
      <c r="DY10" s="109"/>
    </row>
    <row r="11" spans="1:129" s="1" customFormat="1" ht="48.75" customHeight="1">
      <c r="A11" s="8" t="s">
        <v>136</v>
      </c>
      <c r="B11" s="8" t="s">
        <v>136</v>
      </c>
      <c r="C11" s="8" t="s">
        <v>225</v>
      </c>
      <c r="D11" s="8"/>
      <c r="E11" s="26">
        <v>205005</v>
      </c>
      <c r="F11" s="407" t="s">
        <v>583</v>
      </c>
      <c r="G11" s="407" t="s">
        <v>587</v>
      </c>
      <c r="H11" s="407" t="s">
        <v>586</v>
      </c>
      <c r="I11" s="9" t="s">
        <v>29</v>
      </c>
      <c r="J11" s="10" t="s">
        <v>72</v>
      </c>
      <c r="K11" s="3">
        <v>4</v>
      </c>
      <c r="L11" s="3">
        <v>67</v>
      </c>
      <c r="M11" s="45"/>
      <c r="N11" s="11" t="s">
        <v>186</v>
      </c>
      <c r="O11" s="11" t="s">
        <v>189</v>
      </c>
      <c r="P11" s="11" t="s">
        <v>187</v>
      </c>
      <c r="Q11" s="11" t="s">
        <v>187</v>
      </c>
      <c r="R11" s="3">
        <v>320</v>
      </c>
      <c r="S11" s="3" t="s">
        <v>188</v>
      </c>
      <c r="T11" s="12" t="s">
        <v>137</v>
      </c>
      <c r="U11" s="12" t="s">
        <v>222</v>
      </c>
      <c r="V11" s="12"/>
      <c r="W11" s="12" t="s">
        <v>36</v>
      </c>
      <c r="X11" s="8" t="s">
        <v>36</v>
      </c>
      <c r="Y11" s="25" t="s">
        <v>69</v>
      </c>
      <c r="Z11" s="3" t="s">
        <v>92</v>
      </c>
      <c r="AA11" s="9" t="s">
        <v>140</v>
      </c>
      <c r="AB11" s="9" t="s">
        <v>90</v>
      </c>
      <c r="AC11" s="27">
        <v>10000000</v>
      </c>
      <c r="AD11" s="27"/>
      <c r="AE11" s="7">
        <f>AC11+AD11</f>
        <v>10000000</v>
      </c>
      <c r="AF11" s="7"/>
      <c r="AG11" s="7">
        <f>AE11+AF11</f>
        <v>10000000</v>
      </c>
      <c r="AH11" s="7">
        <v>-10000000</v>
      </c>
      <c r="AI11" s="7">
        <f>+AG11+AH11</f>
        <v>0</v>
      </c>
      <c r="AJ11" s="62"/>
      <c r="AK11" s="27">
        <v>5000000</v>
      </c>
      <c r="AL11" s="36">
        <v>0</v>
      </c>
      <c r="AM11" s="27">
        <v>0</v>
      </c>
      <c r="AN11" s="7">
        <f t="shared" ref="AN11:AN61" si="4">AL11+AM11</f>
        <v>0</v>
      </c>
      <c r="AO11" s="27"/>
      <c r="AP11" s="27"/>
      <c r="AQ11" s="7">
        <f t="shared" ref="AQ11:AQ61" si="5">AO11+AP11</f>
        <v>0</v>
      </c>
      <c r="AR11" s="27"/>
      <c r="AS11" s="27"/>
      <c r="AT11" s="7">
        <f t="shared" ref="AT11:AT61" si="6">AR11+AS11</f>
        <v>0</v>
      </c>
      <c r="AU11" s="7"/>
      <c r="AV11" s="7"/>
      <c r="AW11" s="7">
        <f t="shared" ref="AW11:AW61" si="7">AU11+AV11</f>
        <v>0</v>
      </c>
      <c r="AX11" s="7"/>
      <c r="AY11" s="7"/>
      <c r="AZ11" s="7">
        <f t="shared" ref="AZ11:AZ61" si="8">AX11+AY11</f>
        <v>0</v>
      </c>
      <c r="BA11" s="7"/>
      <c r="BB11" s="7"/>
      <c r="BC11" s="7">
        <f t="shared" ref="BC11:BC61" si="9">BA11+BB11</f>
        <v>0</v>
      </c>
      <c r="BD11" s="7"/>
      <c r="BE11" s="7"/>
      <c r="BF11" s="7">
        <f t="shared" ref="BF11:BF61" si="10">BD11+BE11</f>
        <v>0</v>
      </c>
      <c r="BG11" s="7"/>
      <c r="BH11" s="7"/>
      <c r="BI11" s="7">
        <f t="shared" ref="BI11:BI61" si="11">BG11+BH11</f>
        <v>0</v>
      </c>
      <c r="BJ11" s="7"/>
      <c r="BK11" s="7"/>
      <c r="BL11" s="7">
        <f t="shared" ref="BL11:BL61" si="12">BJ11+BK11</f>
        <v>0</v>
      </c>
      <c r="BM11" s="7"/>
      <c r="BN11" s="7"/>
      <c r="BO11" s="7">
        <f t="shared" ref="BO11:BO61" si="13">BM11+BN11</f>
        <v>0</v>
      </c>
      <c r="BP11" s="7"/>
      <c r="BQ11" s="7"/>
      <c r="BR11" s="7">
        <f t="shared" ref="BR11:BR61" si="14">BP11+BQ11</f>
        <v>0</v>
      </c>
      <c r="BS11" s="7"/>
      <c r="BT11" s="7"/>
      <c r="BU11" s="7">
        <f t="shared" ref="BU11:BU61" si="15">BS11+BT11</f>
        <v>0</v>
      </c>
      <c r="BV11" s="7">
        <v>0</v>
      </c>
      <c r="BW11" s="7">
        <f t="shared" ref="BW11:BW61" si="16">AL11+AO11+AR11++AU11+AX11+BA11+BD11+BG11+BJ11+BM11+BP11+BS11</f>
        <v>0</v>
      </c>
      <c r="BX11" s="7">
        <f t="shared" ref="BX11:BX61" si="17">AN11+AQ11+AT11+AW11+AZ11+BC11+BF11+BI11+BL11+BO11+BR11+BU11</f>
        <v>0</v>
      </c>
      <c r="BY11" s="7"/>
      <c r="BZ11" s="7">
        <f t="shared" ref="BZ11:BZ61" si="18">AK11-BW11</f>
        <v>5000000</v>
      </c>
      <c r="CA11" s="7">
        <f t="shared" ref="CA11:CA61" si="19">AK11-BX11</f>
        <v>5000000</v>
      </c>
      <c r="CB11" s="15">
        <f t="shared" si="2"/>
        <v>0</v>
      </c>
      <c r="CC11" s="15">
        <f t="shared" si="3"/>
        <v>0</v>
      </c>
      <c r="CD11" s="510" t="s">
        <v>773</v>
      </c>
      <c r="CE11" s="27">
        <v>16878000</v>
      </c>
      <c r="CF11" s="7">
        <v>17744000</v>
      </c>
      <c r="CG11" s="7"/>
      <c r="CH11" s="7"/>
      <c r="CI11" s="27"/>
      <c r="CJ11" s="7">
        <f>CI11</f>
        <v>0</v>
      </c>
      <c r="CK11" s="27"/>
      <c r="CL11" s="7">
        <f>CK11</f>
        <v>0</v>
      </c>
      <c r="CM11" s="27"/>
      <c r="CN11" s="27"/>
      <c r="CO11" s="7">
        <f>CM11+CN11</f>
        <v>0</v>
      </c>
      <c r="CP11" s="7">
        <f>CI11+CK11+CM11</f>
        <v>0</v>
      </c>
      <c r="CQ11" s="7">
        <f>CJ11+CL11+CO11</f>
        <v>0</v>
      </c>
      <c r="CR11" s="27"/>
      <c r="CS11" s="27"/>
      <c r="CT11" s="7">
        <f>CR11+CS11</f>
        <v>0</v>
      </c>
      <c r="CU11" s="27"/>
      <c r="CV11" s="27"/>
      <c r="CW11" s="7">
        <f>CU11+CV11</f>
        <v>0</v>
      </c>
      <c r="CX11" s="27"/>
      <c r="CY11" s="27"/>
      <c r="CZ11" s="7">
        <f>CX11+CY11</f>
        <v>0</v>
      </c>
      <c r="DA11" s="27"/>
      <c r="DB11" s="7">
        <f>DA11</f>
        <v>0</v>
      </c>
      <c r="DC11" s="27"/>
      <c r="DD11" s="7">
        <f>DC11</f>
        <v>0</v>
      </c>
      <c r="DE11" s="27"/>
      <c r="DF11" s="7">
        <f>DE11</f>
        <v>0</v>
      </c>
      <c r="DG11" s="27"/>
      <c r="DH11" s="7">
        <f>DG11</f>
        <v>0</v>
      </c>
      <c r="DI11" s="27"/>
      <c r="DJ11" s="7">
        <f>DI11</f>
        <v>0</v>
      </c>
      <c r="DK11" s="27"/>
      <c r="DL11" s="7">
        <f>DK11</f>
        <v>0</v>
      </c>
      <c r="DM11" s="27"/>
      <c r="DN11" s="14">
        <f>CI11+CK11+CM11+CR11+CU11+CX11+DA11+DC11+DE11+DG11+DI11+DK11</f>
        <v>0</v>
      </c>
      <c r="DO11" s="14">
        <f>CJ11+CL11+CO11+CT11+CW11+CZ11</f>
        <v>0</v>
      </c>
      <c r="DP11" s="7"/>
      <c r="DQ11" s="7">
        <f>AG11-DN11</f>
        <v>10000000</v>
      </c>
      <c r="DR11" s="7">
        <f>AG11-DO11</f>
        <v>10000000</v>
      </c>
      <c r="DS11" s="15">
        <f>DN11/AG11</f>
        <v>0</v>
      </c>
      <c r="DT11" s="15">
        <f>DO11/AG11</f>
        <v>0</v>
      </c>
      <c r="DU11" s="15"/>
      <c r="DV11" s="15"/>
      <c r="DW11" s="7"/>
      <c r="DX11" s="27"/>
      <c r="DY11" s="109"/>
    </row>
    <row r="12" spans="1:129" s="1" customFormat="1" ht="15" customHeight="1">
      <c r="A12" s="8" t="s">
        <v>136</v>
      </c>
      <c r="B12" s="8" t="s">
        <v>136</v>
      </c>
      <c r="C12" s="8" t="s">
        <v>225</v>
      </c>
      <c r="D12" s="8"/>
      <c r="E12" s="26">
        <v>205005</v>
      </c>
      <c r="F12" s="407" t="s">
        <v>583</v>
      </c>
      <c r="G12" s="407" t="s">
        <v>187</v>
      </c>
      <c r="H12" s="407" t="s">
        <v>584</v>
      </c>
      <c r="I12" s="9" t="s">
        <v>29</v>
      </c>
      <c r="J12" s="10" t="s">
        <v>72</v>
      </c>
      <c r="K12" s="3">
        <v>4</v>
      </c>
      <c r="L12" s="11" t="s">
        <v>187</v>
      </c>
      <c r="M12" s="45"/>
      <c r="N12" s="3" t="s">
        <v>186</v>
      </c>
      <c r="O12" s="3" t="s">
        <v>189</v>
      </c>
      <c r="P12" s="3" t="s">
        <v>187</v>
      </c>
      <c r="Q12" s="3" t="s">
        <v>187</v>
      </c>
      <c r="R12" s="3">
        <v>270</v>
      </c>
      <c r="S12" s="3" t="s">
        <v>188</v>
      </c>
      <c r="T12" s="12" t="s">
        <v>26</v>
      </c>
      <c r="U12" s="12" t="s">
        <v>222</v>
      </c>
      <c r="V12" s="12"/>
      <c r="W12" s="12" t="s">
        <v>5</v>
      </c>
      <c r="X12" s="12" t="s">
        <v>107</v>
      </c>
      <c r="Y12" s="25" t="s">
        <v>99</v>
      </c>
      <c r="Z12" s="3" t="s">
        <v>92</v>
      </c>
      <c r="AA12" s="388" t="s">
        <v>293</v>
      </c>
      <c r="AB12" s="9" t="s">
        <v>8</v>
      </c>
      <c r="AC12" s="7">
        <v>250000</v>
      </c>
      <c r="AD12" s="7"/>
      <c r="AE12" s="7">
        <f>AC12+AD12</f>
        <v>250000</v>
      </c>
      <c r="AF12" s="7"/>
      <c r="AG12" s="7">
        <f>AE12+AF12</f>
        <v>250000</v>
      </c>
      <c r="AH12" s="7"/>
      <c r="AI12" s="7">
        <f>+AG12+AH12</f>
        <v>250000</v>
      </c>
      <c r="AJ12" s="62"/>
      <c r="AK12" s="27">
        <v>500000</v>
      </c>
      <c r="AL12" s="36">
        <v>0</v>
      </c>
      <c r="AM12" s="27">
        <v>0</v>
      </c>
      <c r="AN12" s="7">
        <f t="shared" si="4"/>
        <v>0</v>
      </c>
      <c r="AO12" s="27"/>
      <c r="AP12" s="27"/>
      <c r="AQ12" s="7">
        <f t="shared" si="5"/>
        <v>0</v>
      </c>
      <c r="AR12" s="27"/>
      <c r="AS12" s="27"/>
      <c r="AT12" s="7">
        <f t="shared" si="6"/>
        <v>0</v>
      </c>
      <c r="AU12" s="7"/>
      <c r="AV12" s="7"/>
      <c r="AW12" s="7">
        <f t="shared" si="7"/>
        <v>0</v>
      </c>
      <c r="AX12" s="7"/>
      <c r="AY12" s="7"/>
      <c r="AZ12" s="7">
        <f t="shared" si="8"/>
        <v>0</v>
      </c>
      <c r="BA12" s="7"/>
      <c r="BB12" s="7"/>
      <c r="BC12" s="7">
        <f t="shared" si="9"/>
        <v>0</v>
      </c>
      <c r="BD12" s="7"/>
      <c r="BE12" s="7"/>
      <c r="BF12" s="7">
        <f t="shared" si="10"/>
        <v>0</v>
      </c>
      <c r="BG12" s="7"/>
      <c r="BH12" s="7"/>
      <c r="BI12" s="7">
        <f t="shared" si="11"/>
        <v>0</v>
      </c>
      <c r="BJ12" s="7"/>
      <c r="BK12" s="7"/>
      <c r="BL12" s="7">
        <f t="shared" si="12"/>
        <v>0</v>
      </c>
      <c r="BM12" s="7"/>
      <c r="BN12" s="7"/>
      <c r="BO12" s="7">
        <f t="shared" si="13"/>
        <v>0</v>
      </c>
      <c r="BP12" s="7"/>
      <c r="BQ12" s="7"/>
      <c r="BR12" s="7">
        <f t="shared" si="14"/>
        <v>0</v>
      </c>
      <c r="BS12" s="7"/>
      <c r="BT12" s="7"/>
      <c r="BU12" s="7">
        <f t="shared" si="15"/>
        <v>0</v>
      </c>
      <c r="BV12" s="7">
        <v>0</v>
      </c>
      <c r="BW12" s="7">
        <f t="shared" si="16"/>
        <v>0</v>
      </c>
      <c r="BX12" s="7">
        <f t="shared" si="17"/>
        <v>0</v>
      </c>
      <c r="BY12" s="7"/>
      <c r="BZ12" s="7">
        <f t="shared" si="18"/>
        <v>500000</v>
      </c>
      <c r="CA12" s="7">
        <f t="shared" si="19"/>
        <v>500000</v>
      </c>
      <c r="CB12" s="15">
        <f t="shared" si="2"/>
        <v>0</v>
      </c>
      <c r="CC12" s="15">
        <f t="shared" si="3"/>
        <v>0</v>
      </c>
      <c r="CD12" s="489" t="s">
        <v>720</v>
      </c>
      <c r="CE12" s="27">
        <v>500000</v>
      </c>
      <c r="CF12" s="7">
        <v>500000</v>
      </c>
      <c r="CG12" s="7"/>
      <c r="CH12" s="7"/>
      <c r="CI12" s="7"/>
      <c r="CJ12" s="7">
        <f>CI12</f>
        <v>0</v>
      </c>
      <c r="CK12" s="7"/>
      <c r="CL12" s="7">
        <f>CK12</f>
        <v>0</v>
      </c>
      <c r="CM12" s="7"/>
      <c r="CN12" s="7"/>
      <c r="CO12" s="7">
        <f>CM12+CN12</f>
        <v>0</v>
      </c>
      <c r="CP12" s="7">
        <f>CI12+CK12+CM12</f>
        <v>0</v>
      </c>
      <c r="CQ12" s="7">
        <f>CJ12+CL12+CO12</f>
        <v>0</v>
      </c>
      <c r="CR12" s="7"/>
      <c r="CS12" s="7"/>
      <c r="CT12" s="7">
        <f>CR12+CS12</f>
        <v>0</v>
      </c>
      <c r="CU12" s="7"/>
      <c r="CV12" s="7"/>
      <c r="CW12" s="7">
        <f>CU12+CV12</f>
        <v>0</v>
      </c>
      <c r="CX12" s="7"/>
      <c r="CY12" s="7"/>
      <c r="CZ12" s="7">
        <f>CX12+CY12</f>
        <v>0</v>
      </c>
      <c r="DA12" s="7"/>
      <c r="DB12" s="7">
        <f>DA12</f>
        <v>0</v>
      </c>
      <c r="DC12" s="7"/>
      <c r="DD12" s="7">
        <f>DC12</f>
        <v>0</v>
      </c>
      <c r="DE12" s="7"/>
      <c r="DF12" s="7">
        <f>DE12</f>
        <v>0</v>
      </c>
      <c r="DG12" s="7"/>
      <c r="DH12" s="7">
        <f>DG12</f>
        <v>0</v>
      </c>
      <c r="DI12" s="7"/>
      <c r="DJ12" s="7">
        <f>DI12</f>
        <v>0</v>
      </c>
      <c r="DK12" s="7"/>
      <c r="DL12" s="7">
        <f>DK12</f>
        <v>0</v>
      </c>
      <c r="DM12" s="7">
        <v>171173.4</v>
      </c>
      <c r="DN12" s="14">
        <f>CI12+CK12+CM12+CR12+CU12+CX12+DA12+DC12+DE12+DG12+DI12+DK12</f>
        <v>0</v>
      </c>
      <c r="DO12" s="14">
        <f>CJ12+CL12+CO12+CT12+CW12+CZ12</f>
        <v>0</v>
      </c>
      <c r="DP12" s="7"/>
      <c r="DQ12" s="7">
        <f>AG12-DN12</f>
        <v>250000</v>
      </c>
      <c r="DR12" s="7">
        <f>AG12-DO12</f>
        <v>250000</v>
      </c>
      <c r="DS12" s="15">
        <f>DN12/AG12</f>
        <v>0</v>
      </c>
      <c r="DT12" s="15">
        <f>DO12/AG12</f>
        <v>0</v>
      </c>
      <c r="DU12" s="15"/>
      <c r="DV12" s="15"/>
      <c r="DW12" s="7"/>
      <c r="DX12" s="27"/>
      <c r="DY12" s="109"/>
    </row>
    <row r="13" spans="1:129" s="1" customFormat="1" ht="15" customHeight="1">
      <c r="A13" s="8" t="s">
        <v>136</v>
      </c>
      <c r="B13" s="8"/>
      <c r="C13" s="8" t="s">
        <v>225</v>
      </c>
      <c r="D13" s="10" t="s">
        <v>72</v>
      </c>
      <c r="E13" s="26">
        <v>205005</v>
      </c>
      <c r="F13" s="407" t="s">
        <v>583</v>
      </c>
      <c r="G13" s="407" t="s">
        <v>585</v>
      </c>
      <c r="H13" s="407" t="s">
        <v>586</v>
      </c>
      <c r="I13" s="9" t="s">
        <v>29</v>
      </c>
      <c r="J13" s="10" t="s">
        <v>72</v>
      </c>
      <c r="K13" s="3">
        <v>4</v>
      </c>
      <c r="L13" s="11">
        <v>36</v>
      </c>
      <c r="M13" s="45"/>
      <c r="N13" s="3" t="s">
        <v>186</v>
      </c>
      <c r="O13" s="3" t="s">
        <v>189</v>
      </c>
      <c r="P13" s="3" t="s">
        <v>187</v>
      </c>
      <c r="Q13" s="3" t="s">
        <v>187</v>
      </c>
      <c r="R13" s="3">
        <v>270</v>
      </c>
      <c r="S13" s="3" t="s">
        <v>188</v>
      </c>
      <c r="T13" s="12" t="s">
        <v>26</v>
      </c>
      <c r="U13" s="12" t="s">
        <v>222</v>
      </c>
      <c r="V13" s="12"/>
      <c r="W13" s="12" t="s">
        <v>36</v>
      </c>
      <c r="X13" s="12"/>
      <c r="Y13" s="25" t="s">
        <v>69</v>
      </c>
      <c r="Z13" s="3" t="s">
        <v>92</v>
      </c>
      <c r="AA13" s="501" t="s">
        <v>521</v>
      </c>
      <c r="AB13" s="498" t="s">
        <v>37</v>
      </c>
      <c r="AC13" s="7"/>
      <c r="AD13" s="7"/>
      <c r="AE13" s="7">
        <v>0</v>
      </c>
      <c r="AF13" s="7">
        <v>2500000</v>
      </c>
      <c r="AG13" s="7">
        <f>AE13+AF13</f>
        <v>2500000</v>
      </c>
      <c r="AH13" s="7"/>
      <c r="AI13" s="7">
        <f>+AG13+AH13</f>
        <v>2500000</v>
      </c>
      <c r="AJ13" s="62"/>
      <c r="AK13" s="27">
        <v>1500000</v>
      </c>
      <c r="AL13" s="36">
        <v>0</v>
      </c>
      <c r="AM13" s="27">
        <v>0</v>
      </c>
      <c r="AN13" s="7">
        <f t="shared" si="4"/>
        <v>0</v>
      </c>
      <c r="AO13" s="27"/>
      <c r="AP13" s="27"/>
      <c r="AQ13" s="7">
        <f t="shared" si="5"/>
        <v>0</v>
      </c>
      <c r="AR13" s="27"/>
      <c r="AS13" s="27"/>
      <c r="AT13" s="7">
        <f t="shared" si="6"/>
        <v>0</v>
      </c>
      <c r="AU13" s="7"/>
      <c r="AV13" s="7"/>
      <c r="AW13" s="7">
        <f t="shared" si="7"/>
        <v>0</v>
      </c>
      <c r="AX13" s="7"/>
      <c r="AY13" s="7"/>
      <c r="AZ13" s="7">
        <f t="shared" si="8"/>
        <v>0</v>
      </c>
      <c r="BA13" s="7"/>
      <c r="BB13" s="7"/>
      <c r="BC13" s="7">
        <f t="shared" si="9"/>
        <v>0</v>
      </c>
      <c r="BD13" s="7"/>
      <c r="BE13" s="7"/>
      <c r="BF13" s="7">
        <f t="shared" si="10"/>
        <v>0</v>
      </c>
      <c r="BG13" s="7"/>
      <c r="BH13" s="7"/>
      <c r="BI13" s="7">
        <f t="shared" si="11"/>
        <v>0</v>
      </c>
      <c r="BJ13" s="7"/>
      <c r="BK13" s="7"/>
      <c r="BL13" s="7">
        <f t="shared" si="12"/>
        <v>0</v>
      </c>
      <c r="BM13" s="7"/>
      <c r="BN13" s="7"/>
      <c r="BO13" s="7">
        <f t="shared" si="13"/>
        <v>0</v>
      </c>
      <c r="BP13" s="7"/>
      <c r="BQ13" s="7"/>
      <c r="BR13" s="7">
        <f t="shared" si="14"/>
        <v>0</v>
      </c>
      <c r="BS13" s="7"/>
      <c r="BT13" s="7"/>
      <c r="BU13" s="7">
        <f t="shared" si="15"/>
        <v>0</v>
      </c>
      <c r="BV13" s="7">
        <v>0</v>
      </c>
      <c r="BW13" s="7">
        <f t="shared" si="16"/>
        <v>0</v>
      </c>
      <c r="BX13" s="7">
        <f t="shared" si="17"/>
        <v>0</v>
      </c>
      <c r="BY13" s="7"/>
      <c r="BZ13" s="7">
        <f t="shared" si="18"/>
        <v>1500000</v>
      </c>
      <c r="CA13" s="7">
        <f t="shared" si="19"/>
        <v>1500000</v>
      </c>
      <c r="CB13" s="15">
        <f t="shared" si="2"/>
        <v>0</v>
      </c>
      <c r="CC13" s="15">
        <f t="shared" si="3"/>
        <v>0</v>
      </c>
      <c r="CD13" s="496" t="s">
        <v>719</v>
      </c>
      <c r="CE13" s="27">
        <v>1500000</v>
      </c>
      <c r="CF13" s="7">
        <v>1500000</v>
      </c>
      <c r="CG13" s="7"/>
      <c r="CH13" s="7"/>
      <c r="CI13" s="7"/>
      <c r="CJ13" s="7"/>
      <c r="CK13" s="7"/>
      <c r="CL13" s="7"/>
      <c r="CM13" s="7"/>
      <c r="CN13" s="7"/>
      <c r="CO13" s="7"/>
      <c r="CP13" s="7"/>
      <c r="CQ13" s="7"/>
      <c r="CR13" s="7"/>
      <c r="CS13" s="7"/>
      <c r="CT13" s="7"/>
      <c r="CU13" s="7"/>
      <c r="CV13" s="7"/>
      <c r="CW13" s="7"/>
      <c r="CX13" s="7"/>
      <c r="CY13" s="7"/>
      <c r="CZ13" s="7">
        <f>CX13+CY13</f>
        <v>0</v>
      </c>
      <c r="DA13" s="7"/>
      <c r="DB13" s="7"/>
      <c r="DC13" s="7"/>
      <c r="DD13" s="7"/>
      <c r="DE13" s="7"/>
      <c r="DF13" s="7"/>
      <c r="DG13" s="7"/>
      <c r="DH13" s="7"/>
      <c r="DI13" s="7"/>
      <c r="DJ13" s="7"/>
      <c r="DK13" s="7"/>
      <c r="DL13" s="7"/>
      <c r="DM13" s="7"/>
      <c r="DN13" s="14"/>
      <c r="DO13" s="14">
        <f>CJ13+CL13+CO13+CT13+CW13+CZ13</f>
        <v>0</v>
      </c>
      <c r="DP13" s="7"/>
      <c r="DQ13" s="7">
        <f>AG13-DN13</f>
        <v>2500000</v>
      </c>
      <c r="DR13" s="7">
        <f>AG13-DO13</f>
        <v>2500000</v>
      </c>
      <c r="DS13" s="15">
        <f>DN13/AG13</f>
        <v>0</v>
      </c>
      <c r="DT13" s="15">
        <f>DO13/AG13</f>
        <v>0</v>
      </c>
      <c r="DU13" s="7"/>
      <c r="DV13" s="7"/>
      <c r="DW13" s="7"/>
      <c r="DX13" s="27"/>
      <c r="DY13" s="109"/>
    </row>
    <row r="14" spans="1:129" s="1" customFormat="1" ht="16.5" customHeight="1" thickBot="1">
      <c r="A14" s="18"/>
      <c r="B14" s="28"/>
      <c r="C14" s="18"/>
      <c r="D14" s="28"/>
      <c r="E14" s="16"/>
      <c r="F14" s="16"/>
      <c r="G14" s="16"/>
      <c r="H14" s="16"/>
      <c r="I14" s="28"/>
      <c r="J14" s="29"/>
      <c r="K14" s="16"/>
      <c r="L14" s="16"/>
      <c r="M14" s="57"/>
      <c r="N14" s="16"/>
      <c r="O14" s="16"/>
      <c r="P14" s="16"/>
      <c r="Q14" s="16"/>
      <c r="R14" s="16"/>
      <c r="S14" s="16"/>
      <c r="T14" s="28"/>
      <c r="U14" s="28"/>
      <c r="V14" s="28"/>
      <c r="W14" s="28"/>
      <c r="X14" s="28"/>
      <c r="Y14" s="30"/>
      <c r="Z14" s="30"/>
      <c r="AA14" s="55" t="s">
        <v>180</v>
      </c>
      <c r="AB14" s="28"/>
      <c r="AC14" s="31">
        <f>SUM(AC11:AC12)</f>
        <v>10250000</v>
      </c>
      <c r="AD14" s="31">
        <f>SUM(AD11:AD12)</f>
        <v>0</v>
      </c>
      <c r="AE14" s="31">
        <f t="shared" ref="AE14:DR14" si="20">SUM(AE11:AE13)</f>
        <v>10250000</v>
      </c>
      <c r="AF14" s="31">
        <f t="shared" si="20"/>
        <v>2500000</v>
      </c>
      <c r="AG14" s="31">
        <f t="shared" si="20"/>
        <v>12750000</v>
      </c>
      <c r="AH14" s="31">
        <f t="shared" si="20"/>
        <v>-10000000</v>
      </c>
      <c r="AI14" s="31">
        <f t="shared" si="20"/>
        <v>2750000</v>
      </c>
      <c r="AJ14" s="471">
        <f t="shared" si="20"/>
        <v>0</v>
      </c>
      <c r="AK14" s="31">
        <f t="shared" si="20"/>
        <v>7000000</v>
      </c>
      <c r="AL14" s="477">
        <f>SUM(AL11:AL13)</f>
        <v>0</v>
      </c>
      <c r="AM14" s="31">
        <f t="shared" ref="AM14:CA14" si="21">SUM(AM11:AM13)</f>
        <v>0</v>
      </c>
      <c r="AN14" s="31">
        <f>SUM(AN11:AN13)</f>
        <v>0</v>
      </c>
      <c r="AO14" s="31">
        <f t="shared" si="21"/>
        <v>0</v>
      </c>
      <c r="AP14" s="31">
        <f t="shared" si="21"/>
        <v>0</v>
      </c>
      <c r="AQ14" s="31">
        <f t="shared" si="21"/>
        <v>0</v>
      </c>
      <c r="AR14" s="31">
        <f t="shared" si="21"/>
        <v>0</v>
      </c>
      <c r="AS14" s="31">
        <f t="shared" si="21"/>
        <v>0</v>
      </c>
      <c r="AT14" s="31">
        <f t="shared" si="21"/>
        <v>0</v>
      </c>
      <c r="AU14" s="31">
        <f t="shared" si="21"/>
        <v>0</v>
      </c>
      <c r="AV14" s="31">
        <f t="shared" si="21"/>
        <v>0</v>
      </c>
      <c r="AW14" s="31">
        <f t="shared" si="21"/>
        <v>0</v>
      </c>
      <c r="AX14" s="31">
        <f t="shared" si="21"/>
        <v>0</v>
      </c>
      <c r="AY14" s="31">
        <f t="shared" si="21"/>
        <v>0</v>
      </c>
      <c r="AZ14" s="31">
        <f t="shared" si="21"/>
        <v>0</v>
      </c>
      <c r="BA14" s="31">
        <f t="shared" si="21"/>
        <v>0</v>
      </c>
      <c r="BB14" s="31">
        <f t="shared" si="21"/>
        <v>0</v>
      </c>
      <c r="BC14" s="31">
        <f t="shared" si="21"/>
        <v>0</v>
      </c>
      <c r="BD14" s="31">
        <f t="shared" si="21"/>
        <v>0</v>
      </c>
      <c r="BE14" s="31">
        <f t="shared" si="21"/>
        <v>0</v>
      </c>
      <c r="BF14" s="31">
        <f t="shared" si="21"/>
        <v>0</v>
      </c>
      <c r="BG14" s="31">
        <f t="shared" si="21"/>
        <v>0</v>
      </c>
      <c r="BH14" s="31">
        <f t="shared" si="21"/>
        <v>0</v>
      </c>
      <c r="BI14" s="31">
        <f t="shared" si="21"/>
        <v>0</v>
      </c>
      <c r="BJ14" s="31">
        <f t="shared" si="21"/>
        <v>0</v>
      </c>
      <c r="BK14" s="31">
        <f t="shared" si="21"/>
        <v>0</v>
      </c>
      <c r="BL14" s="31">
        <f t="shared" si="21"/>
        <v>0</v>
      </c>
      <c r="BM14" s="31">
        <f t="shared" si="21"/>
        <v>0</v>
      </c>
      <c r="BN14" s="31">
        <f t="shared" si="21"/>
        <v>0</v>
      </c>
      <c r="BO14" s="31">
        <f t="shared" si="21"/>
        <v>0</v>
      </c>
      <c r="BP14" s="31">
        <f t="shared" si="21"/>
        <v>0</v>
      </c>
      <c r="BQ14" s="31">
        <f t="shared" si="21"/>
        <v>0</v>
      </c>
      <c r="BR14" s="31">
        <f t="shared" si="21"/>
        <v>0</v>
      </c>
      <c r="BS14" s="31">
        <f t="shared" si="21"/>
        <v>0</v>
      </c>
      <c r="BT14" s="31">
        <f t="shared" si="21"/>
        <v>0</v>
      </c>
      <c r="BU14" s="31">
        <f t="shared" si="21"/>
        <v>0</v>
      </c>
      <c r="BV14" s="31">
        <f t="shared" si="21"/>
        <v>0</v>
      </c>
      <c r="BW14" s="31">
        <f t="shared" si="21"/>
        <v>0</v>
      </c>
      <c r="BX14" s="31">
        <f t="shared" si="21"/>
        <v>0</v>
      </c>
      <c r="BY14" s="31">
        <f t="shared" si="21"/>
        <v>0</v>
      </c>
      <c r="BZ14" s="31">
        <f t="shared" si="21"/>
        <v>7000000</v>
      </c>
      <c r="CA14" s="31">
        <f t="shared" si="21"/>
        <v>7000000</v>
      </c>
      <c r="CB14" s="21">
        <f t="shared" si="2"/>
        <v>0</v>
      </c>
      <c r="CC14" s="21">
        <f t="shared" si="3"/>
        <v>0</v>
      </c>
      <c r="CD14" s="489"/>
      <c r="CE14" s="31">
        <f t="shared" si="20"/>
        <v>18878000</v>
      </c>
      <c r="CF14" s="31">
        <f t="shared" si="20"/>
        <v>19744000</v>
      </c>
      <c r="CG14" s="31">
        <f t="shared" si="20"/>
        <v>0</v>
      </c>
      <c r="CH14" s="31">
        <f t="shared" si="20"/>
        <v>0</v>
      </c>
      <c r="CI14" s="31">
        <f t="shared" si="20"/>
        <v>0</v>
      </c>
      <c r="CJ14" s="31">
        <f t="shared" si="20"/>
        <v>0</v>
      </c>
      <c r="CK14" s="31">
        <f t="shared" si="20"/>
        <v>0</v>
      </c>
      <c r="CL14" s="31">
        <f t="shared" si="20"/>
        <v>0</v>
      </c>
      <c r="CM14" s="31">
        <f t="shared" si="20"/>
        <v>0</v>
      </c>
      <c r="CN14" s="31">
        <f t="shared" si="20"/>
        <v>0</v>
      </c>
      <c r="CO14" s="31">
        <f t="shared" si="20"/>
        <v>0</v>
      </c>
      <c r="CP14" s="31">
        <f t="shared" si="20"/>
        <v>0</v>
      </c>
      <c r="CQ14" s="31">
        <f t="shared" si="20"/>
        <v>0</v>
      </c>
      <c r="CR14" s="31">
        <f t="shared" si="20"/>
        <v>0</v>
      </c>
      <c r="CS14" s="31">
        <f t="shared" si="20"/>
        <v>0</v>
      </c>
      <c r="CT14" s="31">
        <f t="shared" si="20"/>
        <v>0</v>
      </c>
      <c r="CU14" s="31">
        <f t="shared" si="20"/>
        <v>0</v>
      </c>
      <c r="CV14" s="31">
        <f t="shared" si="20"/>
        <v>0</v>
      </c>
      <c r="CW14" s="31">
        <f t="shared" si="20"/>
        <v>0</v>
      </c>
      <c r="CX14" s="31">
        <f t="shared" si="20"/>
        <v>0</v>
      </c>
      <c r="CY14" s="31">
        <f t="shared" si="20"/>
        <v>0</v>
      </c>
      <c r="CZ14" s="31">
        <f t="shared" si="20"/>
        <v>0</v>
      </c>
      <c r="DA14" s="31">
        <f t="shared" si="20"/>
        <v>0</v>
      </c>
      <c r="DB14" s="31">
        <f t="shared" si="20"/>
        <v>0</v>
      </c>
      <c r="DC14" s="31">
        <f t="shared" si="20"/>
        <v>0</v>
      </c>
      <c r="DD14" s="31">
        <f t="shared" si="20"/>
        <v>0</v>
      </c>
      <c r="DE14" s="31">
        <f t="shared" si="20"/>
        <v>0</v>
      </c>
      <c r="DF14" s="31">
        <f t="shared" si="20"/>
        <v>0</v>
      </c>
      <c r="DG14" s="31">
        <f t="shared" si="20"/>
        <v>0</v>
      </c>
      <c r="DH14" s="31">
        <f t="shared" si="20"/>
        <v>0</v>
      </c>
      <c r="DI14" s="31">
        <f t="shared" si="20"/>
        <v>0</v>
      </c>
      <c r="DJ14" s="31">
        <f t="shared" si="20"/>
        <v>0</v>
      </c>
      <c r="DK14" s="31">
        <f t="shared" si="20"/>
        <v>0</v>
      </c>
      <c r="DL14" s="31">
        <f t="shared" si="20"/>
        <v>0</v>
      </c>
      <c r="DM14" s="31">
        <f t="shared" si="20"/>
        <v>171173.4</v>
      </c>
      <c r="DN14" s="31">
        <f t="shared" si="20"/>
        <v>0</v>
      </c>
      <c r="DO14" s="31">
        <f t="shared" si="20"/>
        <v>0</v>
      </c>
      <c r="DP14" s="31">
        <f t="shared" si="20"/>
        <v>0</v>
      </c>
      <c r="DQ14" s="31">
        <f t="shared" si="20"/>
        <v>12750000</v>
      </c>
      <c r="DR14" s="31">
        <f t="shared" si="20"/>
        <v>12750000</v>
      </c>
      <c r="DS14" s="21">
        <f>DN14/AG14</f>
        <v>0</v>
      </c>
      <c r="DT14" s="21">
        <f>DO14/AG14</f>
        <v>0</v>
      </c>
      <c r="DU14" s="21"/>
      <c r="DV14" s="21"/>
      <c r="DW14" s="31">
        <f>SUM(DW11:DW13)</f>
        <v>0</v>
      </c>
      <c r="DX14" s="31"/>
      <c r="DY14" s="109"/>
    </row>
    <row r="15" spans="1:129" s="1" customFormat="1" ht="15.75" customHeight="1" thickTop="1">
      <c r="A15" s="12"/>
      <c r="B15" s="12"/>
      <c r="C15" s="12"/>
      <c r="D15" s="12"/>
      <c r="E15" s="3"/>
      <c r="F15" s="3"/>
      <c r="G15" s="3"/>
      <c r="H15" s="3"/>
      <c r="I15" s="12"/>
      <c r="J15" s="24"/>
      <c r="K15" s="3"/>
      <c r="L15" s="3"/>
      <c r="M15" s="45"/>
      <c r="N15" s="3"/>
      <c r="O15" s="3"/>
      <c r="P15" s="3"/>
      <c r="Q15" s="3"/>
      <c r="R15" s="3"/>
      <c r="S15" s="3"/>
      <c r="T15" s="12"/>
      <c r="U15" s="12"/>
      <c r="V15" s="12"/>
      <c r="W15" s="12"/>
      <c r="X15" s="12"/>
      <c r="Y15" s="25"/>
      <c r="Z15" s="25"/>
      <c r="AA15" s="389"/>
      <c r="AB15" s="12"/>
      <c r="AC15" s="27"/>
      <c r="AD15" s="27"/>
      <c r="AE15" s="7"/>
      <c r="AF15" s="7"/>
      <c r="AG15" s="7"/>
      <c r="AH15" s="7"/>
      <c r="AI15" s="7"/>
      <c r="AJ15" s="62"/>
      <c r="AK15" s="27"/>
      <c r="AL15" s="36"/>
      <c r="AM15" s="27"/>
      <c r="AN15" s="7"/>
      <c r="AO15" s="27"/>
      <c r="AP15" s="27"/>
      <c r="AQ15" s="7"/>
      <c r="AR15" s="27"/>
      <c r="AS15" s="2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15"/>
      <c r="CC15" s="15"/>
      <c r="CD15" s="489"/>
      <c r="CE15" s="27"/>
      <c r="CF15" s="7"/>
      <c r="CG15" s="7"/>
      <c r="CH15" s="7"/>
      <c r="CI15" s="27"/>
      <c r="CJ15" s="7"/>
      <c r="CK15" s="27"/>
      <c r="CL15" s="7"/>
      <c r="CM15" s="27"/>
      <c r="CN15" s="27"/>
      <c r="CO15" s="7"/>
      <c r="CP15" s="7"/>
      <c r="CQ15" s="7"/>
      <c r="CR15" s="27"/>
      <c r="CS15" s="27"/>
      <c r="CT15" s="7"/>
      <c r="CU15" s="27"/>
      <c r="CV15" s="27"/>
      <c r="CW15" s="7"/>
      <c r="CX15" s="27"/>
      <c r="CY15" s="27"/>
      <c r="CZ15" s="7"/>
      <c r="DA15" s="27"/>
      <c r="DB15" s="7">
        <f>DA15</f>
        <v>0</v>
      </c>
      <c r="DC15" s="27"/>
      <c r="DD15" s="7">
        <f>DC15</f>
        <v>0</v>
      </c>
      <c r="DE15" s="27"/>
      <c r="DF15" s="7">
        <f>DE15</f>
        <v>0</v>
      </c>
      <c r="DG15" s="27"/>
      <c r="DH15" s="7">
        <f>DG15</f>
        <v>0</v>
      </c>
      <c r="DI15" s="27"/>
      <c r="DJ15" s="7">
        <f>DI15</f>
        <v>0</v>
      </c>
      <c r="DK15" s="27"/>
      <c r="DL15" s="7">
        <f>DK15</f>
        <v>0</v>
      </c>
      <c r="DM15" s="27"/>
      <c r="DN15" s="14"/>
      <c r="DO15" s="14"/>
      <c r="DP15" s="7"/>
      <c r="DQ15" s="7"/>
      <c r="DR15" s="7"/>
      <c r="DS15" s="15"/>
      <c r="DT15" s="15"/>
      <c r="DU15" s="15"/>
      <c r="DV15" s="15"/>
      <c r="DW15" s="7"/>
      <c r="DX15" s="27"/>
      <c r="DY15" s="109"/>
    </row>
    <row r="16" spans="1:129" s="1" customFormat="1" ht="15.75" customHeight="1">
      <c r="A16" s="22" t="s">
        <v>565</v>
      </c>
      <c r="B16" s="23"/>
      <c r="C16" s="22"/>
      <c r="D16" s="23"/>
      <c r="E16" s="3"/>
      <c r="F16" s="3"/>
      <c r="G16" s="3"/>
      <c r="H16" s="3"/>
      <c r="I16" s="12"/>
      <c r="J16" s="24"/>
      <c r="K16" s="3"/>
      <c r="L16" s="3"/>
      <c r="M16" s="45"/>
      <c r="N16" s="3"/>
      <c r="O16" s="3"/>
      <c r="P16" s="3"/>
      <c r="Q16" s="3"/>
      <c r="R16" s="3"/>
      <c r="S16" s="3"/>
      <c r="T16" s="12"/>
      <c r="U16" s="12"/>
      <c r="V16" s="12"/>
      <c r="W16" s="12"/>
      <c r="X16" s="12"/>
      <c r="Y16" s="25"/>
      <c r="Z16" s="25"/>
      <c r="AA16" s="390" t="s">
        <v>769</v>
      </c>
      <c r="AB16" s="12"/>
      <c r="AC16" s="27"/>
      <c r="AD16" s="27"/>
      <c r="AE16" s="7"/>
      <c r="AF16" s="7"/>
      <c r="AG16" s="7"/>
      <c r="AH16" s="7"/>
      <c r="AI16" s="7"/>
      <c r="AJ16" s="62"/>
      <c r="AK16" s="27"/>
      <c r="AL16" s="36"/>
      <c r="AM16" s="27"/>
      <c r="AN16" s="7"/>
      <c r="AO16" s="27"/>
      <c r="AP16" s="27"/>
      <c r="AQ16" s="7"/>
      <c r="AR16" s="27"/>
      <c r="AS16" s="2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15"/>
      <c r="CC16" s="15"/>
      <c r="CD16" s="489"/>
      <c r="CE16" s="27"/>
      <c r="CF16" s="7"/>
      <c r="CG16" s="7"/>
      <c r="CH16" s="7"/>
      <c r="CI16" s="27"/>
      <c r="CJ16" s="7"/>
      <c r="CK16" s="27"/>
      <c r="CL16" s="7"/>
      <c r="CM16" s="27"/>
      <c r="CN16" s="27"/>
      <c r="CO16" s="7"/>
      <c r="CP16" s="7"/>
      <c r="CQ16" s="7"/>
      <c r="CR16" s="27"/>
      <c r="CS16" s="27"/>
      <c r="CT16" s="7"/>
      <c r="CU16" s="27"/>
      <c r="CV16" s="27"/>
      <c r="CW16" s="7"/>
      <c r="CX16" s="27"/>
      <c r="CY16" s="27"/>
      <c r="CZ16" s="7"/>
      <c r="DA16" s="27"/>
      <c r="DB16" s="7">
        <f>DA16</f>
        <v>0</v>
      </c>
      <c r="DC16" s="27"/>
      <c r="DD16" s="7">
        <f>DC16</f>
        <v>0</v>
      </c>
      <c r="DE16" s="27"/>
      <c r="DF16" s="7">
        <f>DE16</f>
        <v>0</v>
      </c>
      <c r="DG16" s="27"/>
      <c r="DH16" s="7">
        <f>DG16</f>
        <v>0</v>
      </c>
      <c r="DI16" s="27"/>
      <c r="DJ16" s="7">
        <f>DI16</f>
        <v>0</v>
      </c>
      <c r="DK16" s="27"/>
      <c r="DL16" s="7">
        <f>DK16</f>
        <v>0</v>
      </c>
      <c r="DM16" s="27"/>
      <c r="DN16" s="14"/>
      <c r="DO16" s="14"/>
      <c r="DP16" s="7"/>
      <c r="DQ16" s="7"/>
      <c r="DR16" s="7"/>
      <c r="DS16" s="15"/>
      <c r="DT16" s="15"/>
      <c r="DU16" s="15"/>
      <c r="DV16" s="15"/>
      <c r="DW16" s="7"/>
      <c r="DX16" s="27"/>
      <c r="DY16" s="109"/>
    </row>
    <row r="17" spans="1:129" s="1" customFormat="1" ht="15.75" customHeight="1">
      <c r="A17" s="12" t="s">
        <v>564</v>
      </c>
      <c r="B17" s="23"/>
      <c r="C17" s="8" t="s">
        <v>226</v>
      </c>
      <c r="D17" s="23"/>
      <c r="E17" s="3">
        <v>250005</v>
      </c>
      <c r="F17" s="406" t="s">
        <v>583</v>
      </c>
      <c r="G17" s="406" t="s">
        <v>187</v>
      </c>
      <c r="H17" s="406" t="s">
        <v>588</v>
      </c>
      <c r="I17" s="9" t="s">
        <v>13</v>
      </c>
      <c r="J17" s="24" t="s">
        <v>72</v>
      </c>
      <c r="K17" s="3">
        <v>4</v>
      </c>
      <c r="L17" s="11" t="s">
        <v>187</v>
      </c>
      <c r="M17" s="45"/>
      <c r="N17" s="11" t="s">
        <v>186</v>
      </c>
      <c r="O17" s="11" t="s">
        <v>189</v>
      </c>
      <c r="P17" s="11" t="s">
        <v>187</v>
      </c>
      <c r="Q17" s="11" t="s">
        <v>187</v>
      </c>
      <c r="R17" s="3">
        <v>270</v>
      </c>
      <c r="S17" s="3" t="s">
        <v>188</v>
      </c>
      <c r="T17" s="12" t="s">
        <v>26</v>
      </c>
      <c r="U17" s="12" t="s">
        <v>222</v>
      </c>
      <c r="V17" s="12"/>
      <c r="W17" s="12" t="s">
        <v>36</v>
      </c>
      <c r="X17" s="12" t="s">
        <v>13</v>
      </c>
      <c r="Y17" s="25" t="s">
        <v>69</v>
      </c>
      <c r="Z17" s="25" t="s">
        <v>92</v>
      </c>
      <c r="AA17" s="9" t="s">
        <v>293</v>
      </c>
      <c r="AB17" s="12" t="s">
        <v>8</v>
      </c>
      <c r="AC17" s="36"/>
      <c r="AD17" s="36"/>
      <c r="AE17" s="7"/>
      <c r="AF17" s="33"/>
      <c r="AG17" s="33">
        <f>AE17+AF17</f>
        <v>0</v>
      </c>
      <c r="AH17" s="33"/>
      <c r="AI17" s="7">
        <f t="shared" ref="AI17:AI30" si="22">+AG17+AH17</f>
        <v>0</v>
      </c>
      <c r="AJ17" s="472"/>
      <c r="AK17" s="27">
        <v>500000</v>
      </c>
      <c r="AL17" s="36">
        <v>0</v>
      </c>
      <c r="AM17" s="36">
        <v>0</v>
      </c>
      <c r="AN17" s="7">
        <f t="shared" si="4"/>
        <v>0</v>
      </c>
      <c r="AO17" s="36"/>
      <c r="AP17" s="36"/>
      <c r="AQ17" s="7">
        <f t="shared" si="5"/>
        <v>0</v>
      </c>
      <c r="AR17" s="36"/>
      <c r="AS17" s="36"/>
      <c r="AT17" s="7">
        <f t="shared" si="6"/>
        <v>0</v>
      </c>
      <c r="AU17" s="33"/>
      <c r="AV17" s="33"/>
      <c r="AW17" s="7">
        <f t="shared" si="7"/>
        <v>0</v>
      </c>
      <c r="AX17" s="33"/>
      <c r="AY17" s="33"/>
      <c r="AZ17" s="7">
        <f t="shared" si="8"/>
        <v>0</v>
      </c>
      <c r="BA17" s="33"/>
      <c r="BB17" s="33"/>
      <c r="BC17" s="7">
        <f t="shared" si="9"/>
        <v>0</v>
      </c>
      <c r="BD17" s="33"/>
      <c r="BE17" s="33"/>
      <c r="BF17" s="7">
        <f t="shared" si="10"/>
        <v>0</v>
      </c>
      <c r="BG17" s="33"/>
      <c r="BH17" s="33"/>
      <c r="BI17" s="7">
        <f t="shared" si="11"/>
        <v>0</v>
      </c>
      <c r="BJ17" s="33"/>
      <c r="BK17" s="33"/>
      <c r="BL17" s="7">
        <f t="shared" si="12"/>
        <v>0</v>
      </c>
      <c r="BM17" s="33"/>
      <c r="BN17" s="33"/>
      <c r="BO17" s="7">
        <f t="shared" si="13"/>
        <v>0</v>
      </c>
      <c r="BP17" s="33"/>
      <c r="BQ17" s="33"/>
      <c r="BR17" s="7">
        <f t="shared" si="14"/>
        <v>0</v>
      </c>
      <c r="BS17" s="33"/>
      <c r="BT17" s="33"/>
      <c r="BU17" s="7">
        <f t="shared" si="15"/>
        <v>0</v>
      </c>
      <c r="BV17" s="33">
        <v>19586.3</v>
      </c>
      <c r="BW17" s="7">
        <f t="shared" si="16"/>
        <v>0</v>
      </c>
      <c r="BX17" s="7">
        <f t="shared" si="17"/>
        <v>0</v>
      </c>
      <c r="BY17" s="33"/>
      <c r="BZ17" s="7">
        <f t="shared" si="18"/>
        <v>500000</v>
      </c>
      <c r="CA17" s="7">
        <f t="shared" si="19"/>
        <v>500000</v>
      </c>
      <c r="CB17" s="15">
        <f t="shared" si="2"/>
        <v>0</v>
      </c>
      <c r="CC17" s="15">
        <f t="shared" si="3"/>
        <v>0</v>
      </c>
      <c r="CD17" s="490" t="s">
        <v>697</v>
      </c>
      <c r="CE17" s="36">
        <v>500000</v>
      </c>
      <c r="CF17" s="33">
        <v>500000</v>
      </c>
      <c r="CG17" s="33"/>
      <c r="CH17" s="33"/>
      <c r="CI17" s="36"/>
      <c r="CJ17" s="7"/>
      <c r="CK17" s="36"/>
      <c r="CL17" s="7"/>
      <c r="CM17" s="36"/>
      <c r="CN17" s="36"/>
      <c r="CO17" s="7"/>
      <c r="CP17" s="7"/>
      <c r="CQ17" s="7"/>
      <c r="CR17" s="36"/>
      <c r="CS17" s="36"/>
      <c r="CT17" s="7"/>
      <c r="CU17" s="36"/>
      <c r="CV17" s="36"/>
      <c r="CW17" s="7"/>
      <c r="CX17" s="36"/>
      <c r="CY17" s="36"/>
      <c r="CZ17" s="7"/>
      <c r="DA17" s="36"/>
      <c r="DB17" s="7"/>
      <c r="DC17" s="36"/>
      <c r="DD17" s="7"/>
      <c r="DE17" s="36"/>
      <c r="DF17" s="7"/>
      <c r="DG17" s="36"/>
      <c r="DH17" s="7"/>
      <c r="DI17" s="36"/>
      <c r="DJ17" s="7"/>
      <c r="DK17" s="36"/>
      <c r="DL17" s="7"/>
      <c r="DM17" s="36"/>
      <c r="DN17" s="14"/>
      <c r="DO17" s="14"/>
      <c r="DP17" s="7"/>
      <c r="DQ17" s="7"/>
      <c r="DR17" s="7"/>
      <c r="DS17" s="15"/>
      <c r="DT17" s="15"/>
      <c r="DU17" s="300"/>
      <c r="DV17" s="300"/>
      <c r="DW17" s="33"/>
      <c r="DX17" s="36"/>
      <c r="DY17" s="109"/>
    </row>
    <row r="18" spans="1:129" s="1" customFormat="1" ht="15" customHeight="1">
      <c r="A18" s="12" t="s">
        <v>564</v>
      </c>
      <c r="B18" s="24" t="s">
        <v>62</v>
      </c>
      <c r="C18" s="8" t="s">
        <v>227</v>
      </c>
      <c r="D18" s="24"/>
      <c r="E18" s="3">
        <v>255005</v>
      </c>
      <c r="F18" s="406" t="s">
        <v>583</v>
      </c>
      <c r="G18" s="412" t="s">
        <v>187</v>
      </c>
      <c r="H18" s="406">
        <v>1504</v>
      </c>
      <c r="I18" s="9" t="s">
        <v>13</v>
      </c>
      <c r="J18" s="10" t="s">
        <v>13</v>
      </c>
      <c r="K18" s="3">
        <v>4</v>
      </c>
      <c r="L18" s="11" t="s">
        <v>187</v>
      </c>
      <c r="M18" s="45"/>
      <c r="N18" s="11" t="s">
        <v>186</v>
      </c>
      <c r="O18" s="11" t="s">
        <v>189</v>
      </c>
      <c r="P18" s="11" t="s">
        <v>187</v>
      </c>
      <c r="Q18" s="11" t="s">
        <v>187</v>
      </c>
      <c r="R18" s="11">
        <v>270</v>
      </c>
      <c r="S18" s="3" t="s">
        <v>188</v>
      </c>
      <c r="T18" s="12" t="s">
        <v>26</v>
      </c>
      <c r="U18" s="12" t="s">
        <v>222</v>
      </c>
      <c r="V18" s="12"/>
      <c r="W18" s="12" t="s">
        <v>36</v>
      </c>
      <c r="X18" s="12" t="s">
        <v>13</v>
      </c>
      <c r="Y18" s="25" t="s">
        <v>69</v>
      </c>
      <c r="Z18" s="399"/>
      <c r="AA18" s="258" t="s">
        <v>165</v>
      </c>
      <c r="AB18" s="12" t="s">
        <v>8</v>
      </c>
      <c r="AC18" s="36">
        <v>200000</v>
      </c>
      <c r="AD18" s="36"/>
      <c r="AE18" s="7">
        <f>AC18+AD18</f>
        <v>200000</v>
      </c>
      <c r="AF18" s="33"/>
      <c r="AG18" s="33">
        <f>AE18+AF18</f>
        <v>200000</v>
      </c>
      <c r="AH18" s="33">
        <v>200000</v>
      </c>
      <c r="AI18" s="7">
        <f t="shared" si="22"/>
        <v>400000</v>
      </c>
      <c r="AJ18" s="472"/>
      <c r="AK18" s="27">
        <v>100000</v>
      </c>
      <c r="AL18" s="36">
        <v>0</v>
      </c>
      <c r="AM18" s="36">
        <v>0</v>
      </c>
      <c r="AN18" s="7">
        <f t="shared" si="4"/>
        <v>0</v>
      </c>
      <c r="AO18" s="36"/>
      <c r="AP18" s="36"/>
      <c r="AQ18" s="7">
        <f t="shared" si="5"/>
        <v>0</v>
      </c>
      <c r="AR18" s="36"/>
      <c r="AS18" s="36"/>
      <c r="AT18" s="7">
        <f t="shared" si="6"/>
        <v>0</v>
      </c>
      <c r="AU18" s="33"/>
      <c r="AV18" s="33"/>
      <c r="AW18" s="7">
        <f t="shared" si="7"/>
        <v>0</v>
      </c>
      <c r="AX18" s="33"/>
      <c r="AY18" s="33"/>
      <c r="AZ18" s="7">
        <f t="shared" si="8"/>
        <v>0</v>
      </c>
      <c r="BA18" s="33"/>
      <c r="BB18" s="33"/>
      <c r="BC18" s="7">
        <f t="shared" si="9"/>
        <v>0</v>
      </c>
      <c r="BD18" s="33"/>
      <c r="BE18" s="33"/>
      <c r="BF18" s="7">
        <f t="shared" si="10"/>
        <v>0</v>
      </c>
      <c r="BG18" s="33"/>
      <c r="BH18" s="33"/>
      <c r="BI18" s="7">
        <f t="shared" si="11"/>
        <v>0</v>
      </c>
      <c r="BJ18" s="33"/>
      <c r="BK18" s="33"/>
      <c r="BL18" s="7">
        <f t="shared" si="12"/>
        <v>0</v>
      </c>
      <c r="BM18" s="33"/>
      <c r="BN18" s="33"/>
      <c r="BO18" s="7">
        <f t="shared" si="13"/>
        <v>0</v>
      </c>
      <c r="BP18" s="33"/>
      <c r="BQ18" s="33"/>
      <c r="BR18" s="7">
        <f t="shared" si="14"/>
        <v>0</v>
      </c>
      <c r="BS18" s="33"/>
      <c r="BT18" s="33"/>
      <c r="BU18" s="7">
        <f t="shared" si="15"/>
        <v>0</v>
      </c>
      <c r="BV18" s="33">
        <v>0</v>
      </c>
      <c r="BW18" s="7">
        <f t="shared" si="16"/>
        <v>0</v>
      </c>
      <c r="BX18" s="7">
        <f t="shared" si="17"/>
        <v>0</v>
      </c>
      <c r="BY18" s="33"/>
      <c r="BZ18" s="7">
        <f t="shared" si="18"/>
        <v>100000</v>
      </c>
      <c r="CA18" s="7">
        <f t="shared" si="19"/>
        <v>100000</v>
      </c>
      <c r="CB18" s="15">
        <f t="shared" si="2"/>
        <v>0</v>
      </c>
      <c r="CC18" s="15">
        <f t="shared" si="3"/>
        <v>0</v>
      </c>
      <c r="CD18" s="490" t="s">
        <v>698</v>
      </c>
      <c r="CE18" s="36">
        <v>150000</v>
      </c>
      <c r="CF18" s="33">
        <v>0</v>
      </c>
      <c r="CG18" s="33"/>
      <c r="CH18" s="33"/>
      <c r="CI18" s="36"/>
      <c r="CJ18" s="7">
        <f>CI18</f>
        <v>0</v>
      </c>
      <c r="CK18" s="36"/>
      <c r="CL18" s="7">
        <f>CK18</f>
        <v>0</v>
      </c>
      <c r="CM18" s="36"/>
      <c r="CN18" s="36"/>
      <c r="CO18" s="7">
        <f>CM18+CN18</f>
        <v>0</v>
      </c>
      <c r="CP18" s="7">
        <f>CI18+CK18+CM18</f>
        <v>0</v>
      </c>
      <c r="CQ18" s="7">
        <f>CJ18+CL18+CO18</f>
        <v>0</v>
      </c>
      <c r="CR18" s="36"/>
      <c r="CS18" s="36"/>
      <c r="CT18" s="7">
        <f>CR18+CS18</f>
        <v>0</v>
      </c>
      <c r="CU18" s="36"/>
      <c r="CV18" s="36"/>
      <c r="CW18" s="7">
        <f>CU18+CV18</f>
        <v>0</v>
      </c>
      <c r="CX18" s="36"/>
      <c r="CY18" s="36"/>
      <c r="CZ18" s="7">
        <f>CX18+CY18</f>
        <v>0</v>
      </c>
      <c r="DA18" s="36"/>
      <c r="DB18" s="7">
        <f>DA18</f>
        <v>0</v>
      </c>
      <c r="DC18" s="36"/>
      <c r="DD18" s="7">
        <f>DC18</f>
        <v>0</v>
      </c>
      <c r="DE18" s="36"/>
      <c r="DF18" s="7">
        <f>DE18</f>
        <v>0</v>
      </c>
      <c r="DG18" s="36"/>
      <c r="DH18" s="7">
        <f>DG18</f>
        <v>0</v>
      </c>
      <c r="DI18" s="36"/>
      <c r="DJ18" s="7">
        <f>DI18</f>
        <v>0</v>
      </c>
      <c r="DK18" s="36"/>
      <c r="DL18" s="7">
        <f>DK18</f>
        <v>0</v>
      </c>
      <c r="DM18" s="36"/>
      <c r="DN18" s="14">
        <f>CI18+CK18+CM18+CR18+CU18+CX18+DA18+DC18+DE18+DG18+DI18+DK18</f>
        <v>0</v>
      </c>
      <c r="DO18" s="14">
        <f>CJ18+CL18+CO18+CT18+CW18+CZ18</f>
        <v>0</v>
      </c>
      <c r="DP18" s="7"/>
      <c r="DQ18" s="7">
        <f>AG18-DN18</f>
        <v>200000</v>
      </c>
      <c r="DR18" s="7">
        <f>AG18-DO18</f>
        <v>200000</v>
      </c>
      <c r="DS18" s="15">
        <f>DN18/AG18</f>
        <v>0</v>
      </c>
      <c r="DT18" s="15">
        <f>DO18/AG18</f>
        <v>0</v>
      </c>
      <c r="DU18" s="300"/>
      <c r="DV18" s="300"/>
      <c r="DW18" s="33"/>
      <c r="DX18" s="36"/>
      <c r="DY18" s="109"/>
    </row>
    <row r="19" spans="1:129" s="1" customFormat="1" ht="15" customHeight="1">
      <c r="A19" s="12" t="s">
        <v>564</v>
      </c>
      <c r="B19" s="12" t="s">
        <v>171</v>
      </c>
      <c r="C19" s="8" t="s">
        <v>644</v>
      </c>
      <c r="D19" s="12"/>
      <c r="E19" s="3">
        <v>250005</v>
      </c>
      <c r="F19" s="3" t="s">
        <v>583</v>
      </c>
      <c r="G19" s="3">
        <v>35</v>
      </c>
      <c r="H19" s="3">
        <v>1501</v>
      </c>
      <c r="I19" s="12" t="s">
        <v>13</v>
      </c>
      <c r="J19" s="24" t="s">
        <v>13</v>
      </c>
      <c r="K19" s="3">
        <v>4</v>
      </c>
      <c r="L19" s="3">
        <v>35</v>
      </c>
      <c r="M19" s="45"/>
      <c r="N19" s="3" t="s">
        <v>186</v>
      </c>
      <c r="O19" s="3" t="s">
        <v>189</v>
      </c>
      <c r="P19" s="11" t="s">
        <v>187</v>
      </c>
      <c r="Q19" s="11" t="s">
        <v>187</v>
      </c>
      <c r="R19" s="11" t="s">
        <v>193</v>
      </c>
      <c r="S19" s="3" t="s">
        <v>188</v>
      </c>
      <c r="T19" s="12" t="s">
        <v>110</v>
      </c>
      <c r="U19" s="12" t="s">
        <v>222</v>
      </c>
      <c r="V19" s="12"/>
      <c r="W19" s="12" t="s">
        <v>36</v>
      </c>
      <c r="X19" s="12" t="s">
        <v>13</v>
      </c>
      <c r="Y19" s="25" t="s">
        <v>69</v>
      </c>
      <c r="Z19" s="25" t="s">
        <v>142</v>
      </c>
      <c r="AA19" s="9" t="s">
        <v>173</v>
      </c>
      <c r="AB19" s="110" t="s">
        <v>496</v>
      </c>
      <c r="AC19" s="33">
        <v>2100000</v>
      </c>
      <c r="AD19" s="33"/>
      <c r="AE19" s="7">
        <f>AC19+AD19</f>
        <v>2100000</v>
      </c>
      <c r="AF19" s="33"/>
      <c r="AG19" s="33">
        <f>AE19+AF19</f>
        <v>2100000</v>
      </c>
      <c r="AH19" s="33"/>
      <c r="AI19" s="7">
        <f>+AG19+AH19</f>
        <v>2100000</v>
      </c>
      <c r="AJ19" s="472"/>
      <c r="AK19" s="7">
        <v>10068500</v>
      </c>
      <c r="AL19" s="33">
        <v>0</v>
      </c>
      <c r="AM19" s="33">
        <v>0</v>
      </c>
      <c r="AN19" s="7">
        <f>AL19+AM19</f>
        <v>0</v>
      </c>
      <c r="AO19" s="33"/>
      <c r="AP19" s="33"/>
      <c r="AQ19" s="7">
        <f t="shared" si="5"/>
        <v>0</v>
      </c>
      <c r="AR19" s="33"/>
      <c r="AS19" s="33"/>
      <c r="AT19" s="7">
        <f t="shared" si="6"/>
        <v>0</v>
      </c>
      <c r="AU19" s="33"/>
      <c r="AV19" s="33"/>
      <c r="AW19" s="7">
        <f t="shared" si="7"/>
        <v>0</v>
      </c>
      <c r="AX19" s="33"/>
      <c r="AY19" s="33"/>
      <c r="AZ19" s="7">
        <f t="shared" si="8"/>
        <v>0</v>
      </c>
      <c r="BA19" s="33"/>
      <c r="BB19" s="33"/>
      <c r="BC19" s="7">
        <f t="shared" si="9"/>
        <v>0</v>
      </c>
      <c r="BD19" s="33"/>
      <c r="BE19" s="33"/>
      <c r="BF19" s="7">
        <f t="shared" si="10"/>
        <v>0</v>
      </c>
      <c r="BG19" s="33"/>
      <c r="BH19" s="33"/>
      <c r="BI19" s="7">
        <f t="shared" si="11"/>
        <v>0</v>
      </c>
      <c r="BJ19" s="33"/>
      <c r="BK19" s="33"/>
      <c r="BL19" s="7">
        <f t="shared" si="12"/>
        <v>0</v>
      </c>
      <c r="BM19" s="33"/>
      <c r="BN19" s="33"/>
      <c r="BO19" s="7">
        <f t="shared" si="13"/>
        <v>0</v>
      </c>
      <c r="BP19" s="33"/>
      <c r="BQ19" s="33"/>
      <c r="BR19" s="7">
        <f t="shared" si="14"/>
        <v>0</v>
      </c>
      <c r="BS19" s="33"/>
      <c r="BT19" s="33"/>
      <c r="BU19" s="7">
        <f t="shared" si="15"/>
        <v>0</v>
      </c>
      <c r="BV19" s="33">
        <v>0</v>
      </c>
      <c r="BW19" s="7">
        <f t="shared" si="16"/>
        <v>0</v>
      </c>
      <c r="BX19" s="7">
        <f t="shared" si="17"/>
        <v>0</v>
      </c>
      <c r="BY19" s="33"/>
      <c r="BZ19" s="7">
        <f t="shared" si="18"/>
        <v>10068500</v>
      </c>
      <c r="CA19" s="7">
        <f t="shared" si="19"/>
        <v>10068500</v>
      </c>
      <c r="CB19" s="15">
        <f t="shared" si="2"/>
        <v>0</v>
      </c>
      <c r="CC19" s="15">
        <f t="shared" si="3"/>
        <v>0</v>
      </c>
      <c r="CD19" s="490"/>
      <c r="CE19" s="33">
        <v>13068500</v>
      </c>
      <c r="CF19" s="33">
        <v>0</v>
      </c>
      <c r="CG19" s="33"/>
      <c r="CH19" s="33"/>
      <c r="CI19" s="33"/>
      <c r="CJ19" s="7">
        <f>CI19</f>
        <v>0</v>
      </c>
      <c r="CK19" s="33"/>
      <c r="CL19" s="7">
        <f>CK19</f>
        <v>0</v>
      </c>
      <c r="CM19" s="33"/>
      <c r="CN19" s="33"/>
      <c r="CO19" s="7">
        <f>CM19+CN19</f>
        <v>0</v>
      </c>
      <c r="CP19" s="7">
        <f>CI19+CK19+CM19</f>
        <v>0</v>
      </c>
      <c r="CQ19" s="7">
        <f>CJ19+CL19+CO19</f>
        <v>0</v>
      </c>
      <c r="CR19" s="33"/>
      <c r="CS19" s="33"/>
      <c r="CT19" s="7">
        <f>CR19+CS19</f>
        <v>0</v>
      </c>
      <c r="CU19" s="33">
        <v>33675</v>
      </c>
      <c r="CV19" s="33"/>
      <c r="CW19" s="7">
        <f>CU19+CV19</f>
        <v>33675</v>
      </c>
      <c r="CX19" s="33">
        <v>53800</v>
      </c>
      <c r="CY19" s="33"/>
      <c r="CZ19" s="7">
        <f>CX19+CY19</f>
        <v>53800</v>
      </c>
      <c r="DA19" s="33"/>
      <c r="DB19" s="7">
        <f>DA19</f>
        <v>0</v>
      </c>
      <c r="DC19" s="33"/>
      <c r="DD19" s="7">
        <f>DC19</f>
        <v>0</v>
      </c>
      <c r="DE19" s="33"/>
      <c r="DF19" s="7">
        <f>DE19</f>
        <v>0</v>
      </c>
      <c r="DG19" s="33"/>
      <c r="DH19" s="7">
        <f>DG19</f>
        <v>0</v>
      </c>
      <c r="DI19" s="33"/>
      <c r="DJ19" s="7">
        <f>DI19</f>
        <v>0</v>
      </c>
      <c r="DK19" s="33"/>
      <c r="DL19" s="7">
        <f>DK19</f>
        <v>0</v>
      </c>
      <c r="DM19" s="33"/>
      <c r="DN19" s="14">
        <f>CI19+CK19+CM19+CR19+CU19+CX19+DA19+DC19+DE19+DG19+DI19+DK19</f>
        <v>87475</v>
      </c>
      <c r="DO19" s="14">
        <f>CJ19+CL19+CO19+CT19+CW19+CZ19</f>
        <v>87475</v>
      </c>
      <c r="DP19" s="7"/>
      <c r="DQ19" s="7">
        <f>AG19-DN19</f>
        <v>2012525</v>
      </c>
      <c r="DR19" s="7">
        <f>AG19-DO19</f>
        <v>2012525</v>
      </c>
      <c r="DS19" s="15">
        <f>DN19/AG19</f>
        <v>4.1654761904761903E-2</v>
      </c>
      <c r="DT19" s="15">
        <f>DO19/AG19</f>
        <v>4.1654761904761903E-2</v>
      </c>
      <c r="DU19" s="300"/>
      <c r="DV19" s="300"/>
      <c r="DW19" s="33"/>
      <c r="DX19" s="36"/>
      <c r="DY19" s="109"/>
    </row>
    <row r="20" spans="1:129" s="1" customFormat="1" ht="30.75">
      <c r="A20" s="12" t="s">
        <v>564</v>
      </c>
      <c r="B20" s="24" t="s">
        <v>62</v>
      </c>
      <c r="C20" s="8" t="s">
        <v>227</v>
      </c>
      <c r="D20" s="24"/>
      <c r="E20" s="3">
        <v>255005</v>
      </c>
      <c r="F20" s="406" t="s">
        <v>583</v>
      </c>
      <c r="G20" s="406">
        <v>35</v>
      </c>
      <c r="H20" s="406">
        <v>1502</v>
      </c>
      <c r="I20" s="9" t="s">
        <v>13</v>
      </c>
      <c r="J20" s="10" t="s">
        <v>13</v>
      </c>
      <c r="K20" s="3">
        <v>4</v>
      </c>
      <c r="L20" s="3">
        <v>35</v>
      </c>
      <c r="M20" s="45"/>
      <c r="N20" s="3" t="s">
        <v>186</v>
      </c>
      <c r="O20" s="3" t="s">
        <v>189</v>
      </c>
      <c r="P20" s="11" t="s">
        <v>187</v>
      </c>
      <c r="Q20" s="11" t="s">
        <v>187</v>
      </c>
      <c r="R20" s="11" t="s">
        <v>193</v>
      </c>
      <c r="S20" s="3" t="s">
        <v>188</v>
      </c>
      <c r="T20" s="12" t="s">
        <v>110</v>
      </c>
      <c r="U20" s="12" t="s">
        <v>222</v>
      </c>
      <c r="V20" s="12"/>
      <c r="W20" s="12" t="s">
        <v>36</v>
      </c>
      <c r="X20" s="12" t="s">
        <v>13</v>
      </c>
      <c r="Y20" s="25" t="s">
        <v>69</v>
      </c>
      <c r="Z20" s="25">
        <v>13</v>
      </c>
      <c r="AA20" s="10" t="s">
        <v>527</v>
      </c>
      <c r="AB20" s="110" t="s">
        <v>38</v>
      </c>
      <c r="AC20" s="36">
        <v>11684600</v>
      </c>
      <c r="AD20" s="36"/>
      <c r="AE20" s="7">
        <f t="shared" ref="AE20:AE26" si="23">AC20+AD20</f>
        <v>11684600</v>
      </c>
      <c r="AF20" s="33"/>
      <c r="AG20" s="33">
        <f t="shared" ref="AG20:AG30" si="24">AE20+AF20</f>
        <v>11684600</v>
      </c>
      <c r="AH20" s="33"/>
      <c r="AI20" s="7">
        <f t="shared" si="22"/>
        <v>11684600</v>
      </c>
      <c r="AJ20" s="472"/>
      <c r="AK20" s="27">
        <v>7000000</v>
      </c>
      <c r="AL20" s="33">
        <v>0</v>
      </c>
      <c r="AM20" s="33">
        <v>0</v>
      </c>
      <c r="AN20" s="7">
        <f t="shared" si="4"/>
        <v>0</v>
      </c>
      <c r="AO20" s="36"/>
      <c r="AP20" s="36"/>
      <c r="AQ20" s="7">
        <f t="shared" si="5"/>
        <v>0</v>
      </c>
      <c r="AR20" s="36"/>
      <c r="AS20" s="36"/>
      <c r="AT20" s="7">
        <f t="shared" si="6"/>
        <v>0</v>
      </c>
      <c r="AU20" s="33"/>
      <c r="AV20" s="33"/>
      <c r="AW20" s="7">
        <f t="shared" si="7"/>
        <v>0</v>
      </c>
      <c r="AX20" s="33"/>
      <c r="AY20" s="33"/>
      <c r="AZ20" s="7">
        <f t="shared" si="8"/>
        <v>0</v>
      </c>
      <c r="BA20" s="33"/>
      <c r="BB20" s="33"/>
      <c r="BC20" s="7">
        <f t="shared" si="9"/>
        <v>0</v>
      </c>
      <c r="BD20" s="33"/>
      <c r="BE20" s="33"/>
      <c r="BF20" s="7">
        <f t="shared" si="10"/>
        <v>0</v>
      </c>
      <c r="BG20" s="33"/>
      <c r="BH20" s="33"/>
      <c r="BI20" s="7">
        <f t="shared" si="11"/>
        <v>0</v>
      </c>
      <c r="BJ20" s="33"/>
      <c r="BK20" s="33"/>
      <c r="BL20" s="7">
        <f t="shared" si="12"/>
        <v>0</v>
      </c>
      <c r="BM20" s="33"/>
      <c r="BN20" s="33"/>
      <c r="BO20" s="7">
        <f t="shared" si="13"/>
        <v>0</v>
      </c>
      <c r="BP20" s="33"/>
      <c r="BQ20" s="33"/>
      <c r="BR20" s="7">
        <f t="shared" si="14"/>
        <v>0</v>
      </c>
      <c r="BS20" s="33"/>
      <c r="BT20" s="33"/>
      <c r="BU20" s="7">
        <f t="shared" si="15"/>
        <v>0</v>
      </c>
      <c r="BV20" s="33">
        <v>0</v>
      </c>
      <c r="BW20" s="7">
        <f t="shared" si="16"/>
        <v>0</v>
      </c>
      <c r="BX20" s="7">
        <f t="shared" si="17"/>
        <v>0</v>
      </c>
      <c r="BY20" s="33"/>
      <c r="BZ20" s="7">
        <f t="shared" si="18"/>
        <v>7000000</v>
      </c>
      <c r="CA20" s="7">
        <f t="shared" si="19"/>
        <v>7000000</v>
      </c>
      <c r="CB20" s="15">
        <f t="shared" si="2"/>
        <v>0</v>
      </c>
      <c r="CC20" s="15">
        <f t="shared" si="3"/>
        <v>0</v>
      </c>
      <c r="CD20" s="489" t="s">
        <v>699</v>
      </c>
      <c r="CE20" s="36">
        <v>15000000</v>
      </c>
      <c r="CF20" s="33">
        <v>20000000</v>
      </c>
      <c r="CG20" s="33">
        <v>10000000</v>
      </c>
      <c r="CH20" s="33">
        <v>10000000</v>
      </c>
      <c r="CI20" s="36"/>
      <c r="CJ20" s="7">
        <f t="shared" ref="CJ20:CJ26" si="25">CI20</f>
        <v>0</v>
      </c>
      <c r="CK20" s="36"/>
      <c r="CL20" s="7">
        <f t="shared" ref="CL20:CL26" si="26">CK20</f>
        <v>0</v>
      </c>
      <c r="CM20" s="36"/>
      <c r="CN20" s="36"/>
      <c r="CO20" s="7">
        <f t="shared" ref="CO20:CO26" si="27">CM20+CN20</f>
        <v>0</v>
      </c>
      <c r="CP20" s="7">
        <f t="shared" ref="CP20:CP26" si="28">CI20+CK20+CM20</f>
        <v>0</v>
      </c>
      <c r="CQ20" s="7">
        <f t="shared" ref="CQ20:CQ26" si="29">CJ20+CL20+CO20</f>
        <v>0</v>
      </c>
      <c r="CR20" s="36"/>
      <c r="CS20" s="36"/>
      <c r="CT20" s="7">
        <f t="shared" ref="CT20:CT26" si="30">CR20+CS20</f>
        <v>0</v>
      </c>
      <c r="CU20" s="36"/>
      <c r="CV20" s="36"/>
      <c r="CW20" s="7">
        <f t="shared" ref="CW20:CW26" si="31">CU20+CV20</f>
        <v>0</v>
      </c>
      <c r="CX20" s="36"/>
      <c r="CY20" s="36"/>
      <c r="CZ20" s="7">
        <f t="shared" ref="CZ20:CZ30" si="32">CX20+CY20</f>
        <v>0</v>
      </c>
      <c r="DA20" s="36"/>
      <c r="DB20" s="7">
        <f t="shared" ref="DB20:DB26" si="33">DA20</f>
        <v>0</v>
      </c>
      <c r="DC20" s="36"/>
      <c r="DD20" s="7">
        <f t="shared" ref="DD20:DD26" si="34">DC20</f>
        <v>0</v>
      </c>
      <c r="DE20" s="36"/>
      <c r="DF20" s="7">
        <f t="shared" ref="DF20:DF26" si="35">DE20</f>
        <v>0</v>
      </c>
      <c r="DG20" s="36"/>
      <c r="DH20" s="7">
        <f t="shared" ref="DH20:DH26" si="36">DG20</f>
        <v>0</v>
      </c>
      <c r="DI20" s="36"/>
      <c r="DJ20" s="7">
        <f t="shared" ref="DJ20:DJ26" si="37">DI20</f>
        <v>0</v>
      </c>
      <c r="DK20" s="36"/>
      <c r="DL20" s="7">
        <f t="shared" ref="DL20:DL26" si="38">DK20</f>
        <v>0</v>
      </c>
      <c r="DM20" s="36">
        <v>8771929.8200000003</v>
      </c>
      <c r="DN20" s="14">
        <f t="shared" ref="DN20:DN26" si="39">CI20+CK20+CM20+CR20+CU20+CX20+DA20+DC20+DE20+DG20+DI20+DK20</f>
        <v>0</v>
      </c>
      <c r="DO20" s="14">
        <f t="shared" ref="DO20:DO30" si="40">CJ20+CL20+CO20+CT20+CW20+CZ20</f>
        <v>0</v>
      </c>
      <c r="DP20" s="7"/>
      <c r="DQ20" s="7">
        <f t="shared" ref="DQ20:DQ30" si="41">AG20-DN20</f>
        <v>11684600</v>
      </c>
      <c r="DR20" s="7">
        <f t="shared" ref="DR20:DR30" si="42">AG20-DO20</f>
        <v>11684600</v>
      </c>
      <c r="DS20" s="15">
        <f t="shared" ref="DS20:DS30" si="43">DN20/AG20</f>
        <v>0</v>
      </c>
      <c r="DT20" s="15">
        <f t="shared" ref="DT20:DT30" si="44">DO20/AG20</f>
        <v>0</v>
      </c>
      <c r="DU20" s="300"/>
      <c r="DV20" s="300"/>
      <c r="DW20" s="33"/>
      <c r="DX20" s="36"/>
      <c r="DY20" s="109"/>
    </row>
    <row r="21" spans="1:129" s="1" customFormat="1" ht="30.75">
      <c r="A21" s="12" t="s">
        <v>564</v>
      </c>
      <c r="B21" s="24" t="s">
        <v>62</v>
      </c>
      <c r="C21" s="8" t="s">
        <v>227</v>
      </c>
      <c r="D21" s="24"/>
      <c r="E21" s="3">
        <v>255005</v>
      </c>
      <c r="F21" s="406" t="s">
        <v>583</v>
      </c>
      <c r="G21" s="406">
        <v>35</v>
      </c>
      <c r="H21" s="406">
        <v>1503</v>
      </c>
      <c r="I21" s="9" t="s">
        <v>13</v>
      </c>
      <c r="J21" s="10" t="s">
        <v>13</v>
      </c>
      <c r="K21" s="3">
        <v>4</v>
      </c>
      <c r="L21" s="3">
        <v>35</v>
      </c>
      <c r="M21" s="45"/>
      <c r="N21" s="3" t="s">
        <v>186</v>
      </c>
      <c r="O21" s="3" t="s">
        <v>189</v>
      </c>
      <c r="P21" s="11" t="s">
        <v>187</v>
      </c>
      <c r="Q21" s="11" t="s">
        <v>187</v>
      </c>
      <c r="R21" s="11" t="s">
        <v>193</v>
      </c>
      <c r="S21" s="3" t="s">
        <v>188</v>
      </c>
      <c r="T21" s="12" t="s">
        <v>110</v>
      </c>
      <c r="U21" s="12" t="s">
        <v>222</v>
      </c>
      <c r="V21" s="12"/>
      <c r="W21" s="12" t="s">
        <v>36</v>
      </c>
      <c r="X21" s="12" t="s">
        <v>13</v>
      </c>
      <c r="Y21" s="25" t="s">
        <v>69</v>
      </c>
      <c r="Z21" s="25">
        <v>13</v>
      </c>
      <c r="AA21" s="10" t="s">
        <v>528</v>
      </c>
      <c r="AB21" s="110" t="s">
        <v>38</v>
      </c>
      <c r="AC21" s="36">
        <v>10000000</v>
      </c>
      <c r="AD21" s="36"/>
      <c r="AE21" s="7">
        <f t="shared" si="23"/>
        <v>10000000</v>
      </c>
      <c r="AF21" s="33"/>
      <c r="AG21" s="33">
        <f t="shared" si="24"/>
        <v>10000000</v>
      </c>
      <c r="AH21" s="33"/>
      <c r="AI21" s="7">
        <f t="shared" si="22"/>
        <v>10000000</v>
      </c>
      <c r="AJ21" s="472"/>
      <c r="AK21" s="27">
        <v>7000000</v>
      </c>
      <c r="AL21" s="36">
        <v>2245000.06</v>
      </c>
      <c r="AM21" s="36">
        <v>0</v>
      </c>
      <c r="AN21" s="7">
        <f t="shared" si="4"/>
        <v>2245000.06</v>
      </c>
      <c r="AO21" s="36"/>
      <c r="AP21" s="36"/>
      <c r="AQ21" s="7">
        <f t="shared" si="5"/>
        <v>0</v>
      </c>
      <c r="AR21" s="36"/>
      <c r="AS21" s="36"/>
      <c r="AT21" s="7">
        <f t="shared" si="6"/>
        <v>0</v>
      </c>
      <c r="AU21" s="33"/>
      <c r="AV21" s="33"/>
      <c r="AW21" s="7">
        <f t="shared" si="7"/>
        <v>0</v>
      </c>
      <c r="AX21" s="33"/>
      <c r="AY21" s="33"/>
      <c r="AZ21" s="7">
        <f t="shared" si="8"/>
        <v>0</v>
      </c>
      <c r="BA21" s="33"/>
      <c r="BB21" s="33"/>
      <c r="BC21" s="7">
        <f t="shared" si="9"/>
        <v>0</v>
      </c>
      <c r="BD21" s="33"/>
      <c r="BE21" s="33"/>
      <c r="BF21" s="7">
        <f t="shared" si="10"/>
        <v>0</v>
      </c>
      <c r="BG21" s="33"/>
      <c r="BH21" s="33"/>
      <c r="BI21" s="7">
        <f t="shared" si="11"/>
        <v>0</v>
      </c>
      <c r="BJ21" s="33"/>
      <c r="BK21" s="33"/>
      <c r="BL21" s="7">
        <f t="shared" si="12"/>
        <v>0</v>
      </c>
      <c r="BM21" s="33"/>
      <c r="BN21" s="33"/>
      <c r="BO21" s="7">
        <f t="shared" si="13"/>
        <v>0</v>
      </c>
      <c r="BP21" s="33"/>
      <c r="BQ21" s="33"/>
      <c r="BR21" s="7">
        <f t="shared" si="14"/>
        <v>0</v>
      </c>
      <c r="BS21" s="33"/>
      <c r="BT21" s="33"/>
      <c r="BU21" s="7">
        <f t="shared" si="15"/>
        <v>0</v>
      </c>
      <c r="BV21" s="33">
        <v>0</v>
      </c>
      <c r="BW21" s="7">
        <f t="shared" si="16"/>
        <v>2245000.06</v>
      </c>
      <c r="BX21" s="7">
        <f t="shared" si="17"/>
        <v>2245000.06</v>
      </c>
      <c r="BY21" s="33"/>
      <c r="BZ21" s="7">
        <f t="shared" si="18"/>
        <v>4754999.9399999995</v>
      </c>
      <c r="CA21" s="7">
        <f t="shared" si="19"/>
        <v>4754999.9399999995</v>
      </c>
      <c r="CB21" s="15">
        <f t="shared" si="2"/>
        <v>0.3207142942857143</v>
      </c>
      <c r="CC21" s="15">
        <f t="shared" si="3"/>
        <v>0.3207142942857143</v>
      </c>
      <c r="CD21" s="489" t="s">
        <v>699</v>
      </c>
      <c r="CE21" s="36">
        <v>15000000</v>
      </c>
      <c r="CF21" s="33">
        <v>12000000</v>
      </c>
      <c r="CG21" s="33">
        <v>10000000</v>
      </c>
      <c r="CH21" s="33">
        <v>7590000</v>
      </c>
      <c r="CI21" s="36"/>
      <c r="CJ21" s="7">
        <f t="shared" si="25"/>
        <v>0</v>
      </c>
      <c r="CK21" s="36">
        <v>48240</v>
      </c>
      <c r="CL21" s="7">
        <f t="shared" si="26"/>
        <v>48240</v>
      </c>
      <c r="CM21" s="36"/>
      <c r="CN21" s="36"/>
      <c r="CO21" s="7">
        <f t="shared" si="27"/>
        <v>0</v>
      </c>
      <c r="CP21" s="7">
        <f t="shared" si="28"/>
        <v>48240</v>
      </c>
      <c r="CQ21" s="7">
        <f t="shared" si="29"/>
        <v>48240</v>
      </c>
      <c r="CR21" s="36"/>
      <c r="CS21" s="36"/>
      <c r="CT21" s="7">
        <f t="shared" si="30"/>
        <v>0</v>
      </c>
      <c r="CU21" s="36"/>
      <c r="CV21" s="36"/>
      <c r="CW21" s="7">
        <f t="shared" si="31"/>
        <v>0</v>
      </c>
      <c r="CX21" s="36">
        <v>18152.900000000001</v>
      </c>
      <c r="CY21" s="36"/>
      <c r="CZ21" s="7">
        <f t="shared" si="32"/>
        <v>18152.900000000001</v>
      </c>
      <c r="DA21" s="36"/>
      <c r="DB21" s="7">
        <f t="shared" si="33"/>
        <v>0</v>
      </c>
      <c r="DC21" s="36"/>
      <c r="DD21" s="7">
        <f t="shared" si="34"/>
        <v>0</v>
      </c>
      <c r="DE21" s="36"/>
      <c r="DF21" s="7">
        <f t="shared" si="35"/>
        <v>0</v>
      </c>
      <c r="DG21" s="36"/>
      <c r="DH21" s="7">
        <f t="shared" si="36"/>
        <v>0</v>
      </c>
      <c r="DI21" s="36"/>
      <c r="DJ21" s="7">
        <f t="shared" si="37"/>
        <v>0</v>
      </c>
      <c r="DK21" s="36"/>
      <c r="DL21" s="7">
        <f t="shared" si="38"/>
        <v>0</v>
      </c>
      <c r="DM21" s="36"/>
      <c r="DN21" s="14">
        <f t="shared" si="39"/>
        <v>66392.899999999994</v>
      </c>
      <c r="DO21" s="14">
        <f t="shared" si="40"/>
        <v>66392.899999999994</v>
      </c>
      <c r="DP21" s="7"/>
      <c r="DQ21" s="7">
        <f t="shared" si="41"/>
        <v>9933607.0999999996</v>
      </c>
      <c r="DR21" s="7">
        <f t="shared" si="42"/>
        <v>9933607.0999999996</v>
      </c>
      <c r="DS21" s="15">
        <f t="shared" si="43"/>
        <v>6.6392899999999991E-3</v>
      </c>
      <c r="DT21" s="15">
        <f t="shared" si="44"/>
        <v>6.6392899999999991E-3</v>
      </c>
      <c r="DU21" s="300"/>
      <c r="DV21" s="300"/>
      <c r="DW21" s="33"/>
      <c r="DX21" s="36"/>
      <c r="DY21" s="317">
        <f>+AI21+AK21+CE21+CF21</f>
        <v>44000000</v>
      </c>
    </row>
    <row r="22" spans="1:129" s="1" customFormat="1" ht="30.75">
      <c r="A22" s="12" t="s">
        <v>564</v>
      </c>
      <c r="B22" s="24" t="s">
        <v>62</v>
      </c>
      <c r="C22" s="8" t="s">
        <v>227</v>
      </c>
      <c r="D22" s="24" t="s">
        <v>13</v>
      </c>
      <c r="E22" s="3">
        <v>255005</v>
      </c>
      <c r="F22" s="406">
        <v>4</v>
      </c>
      <c r="G22" s="406">
        <v>36</v>
      </c>
      <c r="H22" s="406">
        <v>1502</v>
      </c>
      <c r="I22" s="9" t="s">
        <v>13</v>
      </c>
      <c r="J22" s="10" t="s">
        <v>13</v>
      </c>
      <c r="K22" s="3">
        <v>4</v>
      </c>
      <c r="L22" s="3">
        <v>36</v>
      </c>
      <c r="M22" s="45"/>
      <c r="N22" s="3" t="s">
        <v>186</v>
      </c>
      <c r="O22" s="3" t="s">
        <v>189</v>
      </c>
      <c r="P22" s="11" t="s">
        <v>187</v>
      </c>
      <c r="Q22" s="11" t="s">
        <v>187</v>
      </c>
      <c r="R22" s="11" t="s">
        <v>193</v>
      </c>
      <c r="S22" s="3" t="s">
        <v>188</v>
      </c>
      <c r="T22" s="12" t="s">
        <v>110</v>
      </c>
      <c r="U22" s="12" t="s">
        <v>222</v>
      </c>
      <c r="V22" s="12"/>
      <c r="W22" s="12" t="s">
        <v>36</v>
      </c>
      <c r="X22" s="12" t="s">
        <v>13</v>
      </c>
      <c r="Y22" s="25" t="s">
        <v>69</v>
      </c>
      <c r="Z22" s="399">
        <v>13</v>
      </c>
      <c r="AA22" s="9" t="s">
        <v>529</v>
      </c>
      <c r="AB22" s="110" t="s">
        <v>37</v>
      </c>
      <c r="AC22" s="33">
        <v>6815400</v>
      </c>
      <c r="AD22" s="33"/>
      <c r="AE22" s="7">
        <f>AC22+AD22</f>
        <v>6815400</v>
      </c>
      <c r="AF22" s="33"/>
      <c r="AG22" s="33">
        <f>AE22+AF22</f>
        <v>6815400</v>
      </c>
      <c r="AH22" s="33">
        <v>5000000</v>
      </c>
      <c r="AI22" s="7">
        <f>+AG22+AH22</f>
        <v>11815400</v>
      </c>
      <c r="AJ22" s="472"/>
      <c r="AK22" s="7">
        <f>6815400-3845000</f>
        <v>2970400</v>
      </c>
      <c r="AL22" s="33">
        <v>0</v>
      </c>
      <c r="AM22" s="33">
        <v>0</v>
      </c>
      <c r="AN22" s="7">
        <f t="shared" si="4"/>
        <v>0</v>
      </c>
      <c r="AO22" s="33"/>
      <c r="AP22" s="33"/>
      <c r="AQ22" s="7">
        <f t="shared" si="5"/>
        <v>0</v>
      </c>
      <c r="AR22" s="33"/>
      <c r="AS22" s="33"/>
      <c r="AT22" s="7">
        <f t="shared" si="6"/>
        <v>0</v>
      </c>
      <c r="AU22" s="33"/>
      <c r="AV22" s="33"/>
      <c r="AW22" s="7">
        <f t="shared" si="7"/>
        <v>0</v>
      </c>
      <c r="AX22" s="33"/>
      <c r="AY22" s="33"/>
      <c r="AZ22" s="7">
        <f t="shared" si="8"/>
        <v>0</v>
      </c>
      <c r="BA22" s="33"/>
      <c r="BB22" s="33"/>
      <c r="BC22" s="7">
        <f t="shared" si="9"/>
        <v>0</v>
      </c>
      <c r="BD22" s="33"/>
      <c r="BE22" s="33"/>
      <c r="BF22" s="7">
        <f t="shared" si="10"/>
        <v>0</v>
      </c>
      <c r="BG22" s="33"/>
      <c r="BH22" s="33"/>
      <c r="BI22" s="7">
        <f t="shared" si="11"/>
        <v>0</v>
      </c>
      <c r="BJ22" s="33"/>
      <c r="BK22" s="33"/>
      <c r="BL22" s="7">
        <f t="shared" si="12"/>
        <v>0</v>
      </c>
      <c r="BM22" s="33"/>
      <c r="BN22" s="33"/>
      <c r="BO22" s="7">
        <f t="shared" si="13"/>
        <v>0</v>
      </c>
      <c r="BP22" s="33"/>
      <c r="BQ22" s="33"/>
      <c r="BR22" s="7">
        <f t="shared" si="14"/>
        <v>0</v>
      </c>
      <c r="BS22" s="33"/>
      <c r="BT22" s="33"/>
      <c r="BU22" s="7">
        <f t="shared" si="15"/>
        <v>0</v>
      </c>
      <c r="BV22" s="33">
        <v>0</v>
      </c>
      <c r="BW22" s="7">
        <f t="shared" si="16"/>
        <v>0</v>
      </c>
      <c r="BX22" s="7">
        <f t="shared" si="17"/>
        <v>0</v>
      </c>
      <c r="BY22" s="33"/>
      <c r="BZ22" s="7">
        <f t="shared" si="18"/>
        <v>2970400</v>
      </c>
      <c r="CA22" s="7">
        <f t="shared" si="19"/>
        <v>2970400</v>
      </c>
      <c r="CB22" s="15">
        <f t="shared" si="2"/>
        <v>0</v>
      </c>
      <c r="CC22" s="15">
        <f t="shared" si="3"/>
        <v>0</v>
      </c>
      <c r="CD22" s="489" t="s">
        <v>699</v>
      </c>
      <c r="CE22" s="33">
        <f>10000000-5000000</f>
        <v>5000000</v>
      </c>
      <c r="CF22" s="33">
        <v>10000000</v>
      </c>
      <c r="CG22" s="33"/>
      <c r="CH22" s="33"/>
      <c r="CI22" s="33"/>
      <c r="CJ22" s="7">
        <f>CI22</f>
        <v>0</v>
      </c>
      <c r="CK22" s="33">
        <v>4119.6000000000004</v>
      </c>
      <c r="CL22" s="7">
        <f>CK22</f>
        <v>4119.6000000000004</v>
      </c>
      <c r="CM22" s="33">
        <v>-4119.6000000000004</v>
      </c>
      <c r="CN22" s="33">
        <v>0</v>
      </c>
      <c r="CO22" s="7">
        <f>CM22+CN22</f>
        <v>-4119.6000000000004</v>
      </c>
      <c r="CP22" s="7">
        <f>CI22+CK22+CM22</f>
        <v>0</v>
      </c>
      <c r="CQ22" s="7">
        <f>CJ22+CL22+CO22</f>
        <v>0</v>
      </c>
      <c r="CR22" s="33"/>
      <c r="CS22" s="33"/>
      <c r="CT22" s="7">
        <f>CR22+CS22</f>
        <v>0</v>
      </c>
      <c r="CU22" s="33"/>
      <c r="CV22" s="33"/>
      <c r="CW22" s="7">
        <f>CU22+CV22</f>
        <v>0</v>
      </c>
      <c r="CX22" s="33"/>
      <c r="CY22" s="33"/>
      <c r="CZ22" s="7">
        <f>CX22+CY22</f>
        <v>0</v>
      </c>
      <c r="DA22" s="33"/>
      <c r="DB22" s="7">
        <f>DA22</f>
        <v>0</v>
      </c>
      <c r="DC22" s="33"/>
      <c r="DD22" s="7">
        <f>DC22</f>
        <v>0</v>
      </c>
      <c r="DE22" s="33"/>
      <c r="DF22" s="7">
        <f>DE22</f>
        <v>0</v>
      </c>
      <c r="DG22" s="33"/>
      <c r="DH22" s="7">
        <f>DG22</f>
        <v>0</v>
      </c>
      <c r="DI22" s="33"/>
      <c r="DJ22" s="7">
        <f>DI22</f>
        <v>0</v>
      </c>
      <c r="DK22" s="33"/>
      <c r="DL22" s="7">
        <f>DK22</f>
        <v>0</v>
      </c>
      <c r="DM22" s="33">
        <v>3614075.5</v>
      </c>
      <c r="DN22" s="14">
        <f>CI22+CK22+CM22+CR22+CU22+CX22+DA22+DC22+DE22+DG22+DI22+DK22</f>
        <v>0</v>
      </c>
      <c r="DO22" s="14">
        <f>CJ22+CL22+CO22+CT22+CW22+CZ22</f>
        <v>0</v>
      </c>
      <c r="DP22" s="7"/>
      <c r="DQ22" s="7">
        <f>AG22-DN22</f>
        <v>6815400</v>
      </c>
      <c r="DR22" s="7">
        <f>AG22-DO22</f>
        <v>6815400</v>
      </c>
      <c r="DS22" s="15">
        <f>DN22/AG22</f>
        <v>0</v>
      </c>
      <c r="DT22" s="15">
        <f>DO22/AG22</f>
        <v>0</v>
      </c>
      <c r="DU22" s="33">
        <v>55265000</v>
      </c>
      <c r="DV22" s="33"/>
      <c r="DW22" s="33"/>
      <c r="DX22" s="36"/>
      <c r="DY22" s="109"/>
    </row>
    <row r="23" spans="1:129" s="1" customFormat="1" ht="45">
      <c r="A23" s="12" t="s">
        <v>564</v>
      </c>
      <c r="B23" s="24" t="s">
        <v>62</v>
      </c>
      <c r="C23" s="8" t="s">
        <v>227</v>
      </c>
      <c r="D23" s="24"/>
      <c r="E23" s="3">
        <v>255005</v>
      </c>
      <c r="F23" s="406">
        <v>4</v>
      </c>
      <c r="G23" s="406">
        <v>36</v>
      </c>
      <c r="H23" s="406">
        <v>1551</v>
      </c>
      <c r="I23" s="9" t="s">
        <v>13</v>
      </c>
      <c r="J23" s="10" t="s">
        <v>13</v>
      </c>
      <c r="K23" s="3">
        <v>4</v>
      </c>
      <c r="L23" s="3">
        <v>35</v>
      </c>
      <c r="M23" s="45"/>
      <c r="N23" s="3" t="s">
        <v>186</v>
      </c>
      <c r="O23" s="3" t="s">
        <v>189</v>
      </c>
      <c r="P23" s="11" t="s">
        <v>187</v>
      </c>
      <c r="Q23" s="11" t="s">
        <v>187</v>
      </c>
      <c r="R23" s="11" t="s">
        <v>193</v>
      </c>
      <c r="S23" s="3" t="s">
        <v>188</v>
      </c>
      <c r="T23" s="12" t="s">
        <v>110</v>
      </c>
      <c r="U23" s="12" t="s">
        <v>222</v>
      </c>
      <c r="V23" s="12"/>
      <c r="W23" s="12" t="s">
        <v>36</v>
      </c>
      <c r="X23" s="12" t="s">
        <v>13</v>
      </c>
      <c r="Y23" s="25" t="s">
        <v>69</v>
      </c>
      <c r="Z23" s="25">
        <v>13</v>
      </c>
      <c r="AA23" s="10" t="s">
        <v>528</v>
      </c>
      <c r="AB23" s="110" t="s">
        <v>37</v>
      </c>
      <c r="AC23" s="36"/>
      <c r="AD23" s="36"/>
      <c r="AE23" s="7"/>
      <c r="AF23" s="33"/>
      <c r="AG23" s="33"/>
      <c r="AH23" s="33"/>
      <c r="AI23" s="7"/>
      <c r="AJ23" s="472"/>
      <c r="AK23" s="27">
        <v>2000000</v>
      </c>
      <c r="AL23" s="36">
        <v>2000000</v>
      </c>
      <c r="AM23" s="36">
        <v>280000</v>
      </c>
      <c r="AN23" s="7">
        <f>AL23+AM23</f>
        <v>2280000</v>
      </c>
      <c r="AO23" s="36"/>
      <c r="AP23" s="36"/>
      <c r="AQ23" s="7">
        <f t="shared" si="5"/>
        <v>0</v>
      </c>
      <c r="AR23" s="36"/>
      <c r="AS23" s="36"/>
      <c r="AT23" s="7">
        <f t="shared" si="6"/>
        <v>0</v>
      </c>
      <c r="AU23" s="33"/>
      <c r="AV23" s="33"/>
      <c r="AW23" s="7">
        <f t="shared" si="7"/>
        <v>0</v>
      </c>
      <c r="AX23" s="33"/>
      <c r="AY23" s="33"/>
      <c r="AZ23" s="7">
        <f t="shared" si="8"/>
        <v>0</v>
      </c>
      <c r="BA23" s="33"/>
      <c r="BB23" s="33"/>
      <c r="BC23" s="7">
        <f t="shared" si="9"/>
        <v>0</v>
      </c>
      <c r="BD23" s="33"/>
      <c r="BE23" s="33"/>
      <c r="BF23" s="7">
        <f t="shared" si="10"/>
        <v>0</v>
      </c>
      <c r="BG23" s="33"/>
      <c r="BH23" s="33"/>
      <c r="BI23" s="7">
        <f t="shared" si="11"/>
        <v>0</v>
      </c>
      <c r="BJ23" s="33"/>
      <c r="BK23" s="33"/>
      <c r="BL23" s="7">
        <f t="shared" si="12"/>
        <v>0</v>
      </c>
      <c r="BM23" s="33"/>
      <c r="BN23" s="33"/>
      <c r="BO23" s="7">
        <f t="shared" si="13"/>
        <v>0</v>
      </c>
      <c r="BP23" s="33"/>
      <c r="BQ23" s="33"/>
      <c r="BR23" s="7">
        <f t="shared" si="14"/>
        <v>0</v>
      </c>
      <c r="BS23" s="33"/>
      <c r="BT23" s="33"/>
      <c r="BU23" s="7">
        <f t="shared" si="15"/>
        <v>0</v>
      </c>
      <c r="BV23" s="33">
        <v>0</v>
      </c>
      <c r="BW23" s="7">
        <f t="shared" si="16"/>
        <v>2000000</v>
      </c>
      <c r="BX23" s="7">
        <f t="shared" si="17"/>
        <v>2280000</v>
      </c>
      <c r="BY23" s="33"/>
      <c r="BZ23" s="7">
        <f t="shared" si="18"/>
        <v>0</v>
      </c>
      <c r="CA23" s="7">
        <f t="shared" si="19"/>
        <v>-280000</v>
      </c>
      <c r="CB23" s="15">
        <f t="shared" si="2"/>
        <v>1</v>
      </c>
      <c r="CC23" s="15">
        <f t="shared" si="3"/>
        <v>1.1399999999999999</v>
      </c>
      <c r="CD23" s="491" t="s">
        <v>700</v>
      </c>
      <c r="CE23" s="36">
        <f>10000000-5000000</f>
        <v>5000000</v>
      </c>
      <c r="CF23" s="33">
        <v>10000000</v>
      </c>
      <c r="CG23" s="33"/>
      <c r="CH23" s="33"/>
      <c r="CI23" s="36"/>
      <c r="CJ23" s="7"/>
      <c r="CK23" s="36"/>
      <c r="CL23" s="7"/>
      <c r="CM23" s="36"/>
      <c r="CN23" s="36"/>
      <c r="CO23" s="7"/>
      <c r="CP23" s="7"/>
      <c r="CQ23" s="7"/>
      <c r="CR23" s="36"/>
      <c r="CS23" s="36"/>
      <c r="CT23" s="7"/>
      <c r="CU23" s="36"/>
      <c r="CV23" s="36"/>
      <c r="CW23" s="7"/>
      <c r="CX23" s="36"/>
      <c r="CY23" s="36"/>
      <c r="CZ23" s="7"/>
      <c r="DA23" s="36"/>
      <c r="DB23" s="7"/>
      <c r="DC23" s="36"/>
      <c r="DD23" s="7"/>
      <c r="DE23" s="36"/>
      <c r="DF23" s="7"/>
      <c r="DG23" s="36"/>
      <c r="DH23" s="7"/>
      <c r="DI23" s="36"/>
      <c r="DJ23" s="7"/>
      <c r="DK23" s="36"/>
      <c r="DL23" s="7"/>
      <c r="DM23" s="36"/>
      <c r="DN23" s="14"/>
      <c r="DO23" s="14"/>
      <c r="DP23" s="7"/>
      <c r="DQ23" s="7"/>
      <c r="DR23" s="7"/>
      <c r="DS23" s="15"/>
      <c r="DT23" s="15"/>
      <c r="DU23" s="300"/>
      <c r="DV23" s="300"/>
      <c r="DW23" s="33"/>
      <c r="DX23" s="36"/>
      <c r="DY23" s="317">
        <f>+AI23+AK23+CE23+CF23</f>
        <v>17000000</v>
      </c>
    </row>
    <row r="24" spans="1:129" s="1" customFormat="1" ht="30">
      <c r="A24" s="12" t="s">
        <v>564</v>
      </c>
      <c r="B24" s="24" t="s">
        <v>62</v>
      </c>
      <c r="C24" s="8" t="s">
        <v>227</v>
      </c>
      <c r="D24" s="24" t="s">
        <v>13</v>
      </c>
      <c r="E24" s="3">
        <v>255005</v>
      </c>
      <c r="F24" s="406">
        <v>4</v>
      </c>
      <c r="G24" s="406">
        <v>36</v>
      </c>
      <c r="H24" s="406">
        <v>1503</v>
      </c>
      <c r="I24" s="9" t="s">
        <v>13</v>
      </c>
      <c r="J24" s="10" t="s">
        <v>13</v>
      </c>
      <c r="K24" s="3">
        <v>4</v>
      </c>
      <c r="L24" s="3">
        <v>36</v>
      </c>
      <c r="M24" s="45"/>
      <c r="N24" s="3" t="s">
        <v>186</v>
      </c>
      <c r="O24" s="3" t="s">
        <v>189</v>
      </c>
      <c r="P24" s="11" t="s">
        <v>187</v>
      </c>
      <c r="Q24" s="11" t="s">
        <v>187</v>
      </c>
      <c r="R24" s="11" t="s">
        <v>193</v>
      </c>
      <c r="S24" s="3" t="s">
        <v>188</v>
      </c>
      <c r="T24" s="12" t="s">
        <v>110</v>
      </c>
      <c r="U24" s="12" t="s">
        <v>222</v>
      </c>
      <c r="V24" s="12"/>
      <c r="W24" s="12" t="s">
        <v>36</v>
      </c>
      <c r="X24" s="12" t="s">
        <v>13</v>
      </c>
      <c r="Y24" s="25" t="s">
        <v>69</v>
      </c>
      <c r="Z24" s="399">
        <v>24</v>
      </c>
      <c r="AA24" s="10" t="s">
        <v>530</v>
      </c>
      <c r="AB24" s="110" t="s">
        <v>37</v>
      </c>
      <c r="AC24" s="33">
        <v>200000</v>
      </c>
      <c r="AD24" s="33"/>
      <c r="AE24" s="7">
        <f t="shared" si="23"/>
        <v>200000</v>
      </c>
      <c r="AF24" s="33">
        <v>300000</v>
      </c>
      <c r="AG24" s="33">
        <f t="shared" si="24"/>
        <v>500000</v>
      </c>
      <c r="AH24" s="33"/>
      <c r="AI24" s="7">
        <f t="shared" si="22"/>
        <v>500000</v>
      </c>
      <c r="AJ24" s="472"/>
      <c r="AK24" s="7">
        <v>500000</v>
      </c>
      <c r="AL24" s="33">
        <v>0</v>
      </c>
      <c r="AM24" s="33">
        <v>0</v>
      </c>
      <c r="AN24" s="7">
        <f t="shared" si="4"/>
        <v>0</v>
      </c>
      <c r="AO24" s="33"/>
      <c r="AP24" s="33"/>
      <c r="AQ24" s="7">
        <f t="shared" si="5"/>
        <v>0</v>
      </c>
      <c r="AR24" s="33"/>
      <c r="AS24" s="33"/>
      <c r="AT24" s="7">
        <f t="shared" si="6"/>
        <v>0</v>
      </c>
      <c r="AU24" s="33"/>
      <c r="AV24" s="33"/>
      <c r="AW24" s="7">
        <f t="shared" si="7"/>
        <v>0</v>
      </c>
      <c r="AX24" s="33"/>
      <c r="AY24" s="33"/>
      <c r="AZ24" s="7">
        <f t="shared" si="8"/>
        <v>0</v>
      </c>
      <c r="BA24" s="33"/>
      <c r="BB24" s="33"/>
      <c r="BC24" s="7">
        <f t="shared" si="9"/>
        <v>0</v>
      </c>
      <c r="BD24" s="33"/>
      <c r="BE24" s="33"/>
      <c r="BF24" s="7">
        <f t="shared" si="10"/>
        <v>0</v>
      </c>
      <c r="BG24" s="33"/>
      <c r="BH24" s="33"/>
      <c r="BI24" s="7">
        <f t="shared" si="11"/>
        <v>0</v>
      </c>
      <c r="BJ24" s="33"/>
      <c r="BK24" s="33"/>
      <c r="BL24" s="7">
        <f t="shared" si="12"/>
        <v>0</v>
      </c>
      <c r="BM24" s="33"/>
      <c r="BN24" s="33"/>
      <c r="BO24" s="7">
        <f t="shared" si="13"/>
        <v>0</v>
      </c>
      <c r="BP24" s="33"/>
      <c r="BQ24" s="33"/>
      <c r="BR24" s="7">
        <f t="shared" si="14"/>
        <v>0</v>
      </c>
      <c r="BS24" s="33"/>
      <c r="BT24" s="33"/>
      <c r="BU24" s="7">
        <f t="shared" si="15"/>
        <v>0</v>
      </c>
      <c r="BV24" s="33">
        <v>0</v>
      </c>
      <c r="BW24" s="7">
        <f t="shared" si="16"/>
        <v>0</v>
      </c>
      <c r="BX24" s="7">
        <f t="shared" si="17"/>
        <v>0</v>
      </c>
      <c r="BY24" s="33"/>
      <c r="BZ24" s="7">
        <f t="shared" si="18"/>
        <v>500000</v>
      </c>
      <c r="CA24" s="7">
        <f t="shared" si="19"/>
        <v>500000</v>
      </c>
      <c r="CB24" s="15">
        <f t="shared" si="2"/>
        <v>0</v>
      </c>
      <c r="CC24" s="15">
        <f t="shared" si="3"/>
        <v>0</v>
      </c>
      <c r="CD24" s="492" t="s">
        <v>701</v>
      </c>
      <c r="CE24" s="33">
        <f>7900000-2000000</f>
        <v>5900000</v>
      </c>
      <c r="CF24" s="33">
        <v>13000000</v>
      </c>
      <c r="CG24" s="33"/>
      <c r="CH24" s="33"/>
      <c r="CI24" s="33"/>
      <c r="CJ24" s="7">
        <f t="shared" si="25"/>
        <v>0</v>
      </c>
      <c r="CK24" s="33"/>
      <c r="CL24" s="7">
        <f t="shared" si="26"/>
        <v>0</v>
      </c>
      <c r="CM24" s="33"/>
      <c r="CN24" s="33">
        <v>0</v>
      </c>
      <c r="CO24" s="7">
        <f t="shared" si="27"/>
        <v>0</v>
      </c>
      <c r="CP24" s="7">
        <f t="shared" si="28"/>
        <v>0</v>
      </c>
      <c r="CQ24" s="7">
        <f t="shared" si="29"/>
        <v>0</v>
      </c>
      <c r="CR24" s="33"/>
      <c r="CS24" s="33"/>
      <c r="CT24" s="7">
        <f t="shared" si="30"/>
        <v>0</v>
      </c>
      <c r="CU24" s="33"/>
      <c r="CV24" s="33"/>
      <c r="CW24" s="7">
        <f t="shared" si="31"/>
        <v>0</v>
      </c>
      <c r="CX24" s="33"/>
      <c r="CY24" s="33"/>
      <c r="CZ24" s="7">
        <f t="shared" si="32"/>
        <v>0</v>
      </c>
      <c r="DA24" s="33"/>
      <c r="DB24" s="7">
        <f t="shared" si="33"/>
        <v>0</v>
      </c>
      <c r="DC24" s="33"/>
      <c r="DD24" s="7">
        <f t="shared" si="34"/>
        <v>0</v>
      </c>
      <c r="DE24" s="33"/>
      <c r="DF24" s="7">
        <f t="shared" si="35"/>
        <v>0</v>
      </c>
      <c r="DG24" s="33"/>
      <c r="DH24" s="7">
        <f t="shared" si="36"/>
        <v>0</v>
      </c>
      <c r="DI24" s="33"/>
      <c r="DJ24" s="7">
        <f t="shared" si="37"/>
        <v>0</v>
      </c>
      <c r="DK24" s="33"/>
      <c r="DL24" s="7">
        <f t="shared" si="38"/>
        <v>0</v>
      </c>
      <c r="DM24" s="33">
        <v>175438.6</v>
      </c>
      <c r="DN24" s="14">
        <f t="shared" si="39"/>
        <v>0</v>
      </c>
      <c r="DO24" s="14">
        <f t="shared" si="40"/>
        <v>0</v>
      </c>
      <c r="DP24" s="7"/>
      <c r="DQ24" s="7">
        <f t="shared" si="41"/>
        <v>500000</v>
      </c>
      <c r="DR24" s="7">
        <f t="shared" si="42"/>
        <v>500000</v>
      </c>
      <c r="DS24" s="15">
        <f t="shared" si="43"/>
        <v>0</v>
      </c>
      <c r="DT24" s="15">
        <f t="shared" si="44"/>
        <v>0</v>
      </c>
      <c r="DU24" s="33">
        <v>10000000</v>
      </c>
      <c r="DV24" s="33"/>
      <c r="DW24" s="33"/>
      <c r="DX24" s="36"/>
      <c r="DY24" s="109"/>
    </row>
    <row r="25" spans="1:129" s="1" customFormat="1" ht="30">
      <c r="A25" s="12" t="s">
        <v>564</v>
      </c>
      <c r="B25" s="24" t="s">
        <v>62</v>
      </c>
      <c r="C25" s="8" t="s">
        <v>227</v>
      </c>
      <c r="D25" s="24" t="s">
        <v>13</v>
      </c>
      <c r="E25" s="3">
        <v>255005</v>
      </c>
      <c r="F25" s="406">
        <v>4</v>
      </c>
      <c r="G25" s="406">
        <v>36</v>
      </c>
      <c r="H25" s="406">
        <v>1504</v>
      </c>
      <c r="I25" s="9" t="s">
        <v>13</v>
      </c>
      <c r="J25" s="10" t="s">
        <v>13</v>
      </c>
      <c r="K25" s="3">
        <v>4</v>
      </c>
      <c r="L25" s="3">
        <v>36</v>
      </c>
      <c r="M25" s="45"/>
      <c r="N25" s="3" t="s">
        <v>186</v>
      </c>
      <c r="O25" s="3" t="s">
        <v>189</v>
      </c>
      <c r="P25" s="11" t="s">
        <v>187</v>
      </c>
      <c r="Q25" s="11" t="s">
        <v>187</v>
      </c>
      <c r="R25" s="11" t="s">
        <v>193</v>
      </c>
      <c r="S25" s="3" t="s">
        <v>188</v>
      </c>
      <c r="T25" s="12" t="s">
        <v>110</v>
      </c>
      <c r="U25" s="12" t="s">
        <v>222</v>
      </c>
      <c r="V25" s="12"/>
      <c r="W25" s="12" t="s">
        <v>36</v>
      </c>
      <c r="X25" s="12" t="s">
        <v>13</v>
      </c>
      <c r="Y25" s="25" t="s">
        <v>69</v>
      </c>
      <c r="Z25" s="399">
        <v>24</v>
      </c>
      <c r="AA25" s="10" t="s">
        <v>531</v>
      </c>
      <c r="AB25" s="110" t="s">
        <v>37</v>
      </c>
      <c r="AC25" s="33">
        <v>200000</v>
      </c>
      <c r="AD25" s="33"/>
      <c r="AE25" s="7">
        <f t="shared" si="23"/>
        <v>200000</v>
      </c>
      <c r="AF25" s="33">
        <v>300000</v>
      </c>
      <c r="AG25" s="33">
        <f t="shared" si="24"/>
        <v>500000</v>
      </c>
      <c r="AH25" s="33"/>
      <c r="AI25" s="7">
        <f t="shared" si="22"/>
        <v>500000</v>
      </c>
      <c r="AJ25" s="472"/>
      <c r="AK25" s="7">
        <v>500000</v>
      </c>
      <c r="AL25" s="33">
        <v>0</v>
      </c>
      <c r="AM25" s="33">
        <v>0</v>
      </c>
      <c r="AN25" s="7">
        <f t="shared" si="4"/>
        <v>0</v>
      </c>
      <c r="AO25" s="33"/>
      <c r="AP25" s="33"/>
      <c r="AQ25" s="7">
        <f t="shared" si="5"/>
        <v>0</v>
      </c>
      <c r="AR25" s="33"/>
      <c r="AS25" s="33"/>
      <c r="AT25" s="7">
        <f t="shared" si="6"/>
        <v>0</v>
      </c>
      <c r="AU25" s="33"/>
      <c r="AV25" s="33"/>
      <c r="AW25" s="7">
        <f t="shared" si="7"/>
        <v>0</v>
      </c>
      <c r="AX25" s="33"/>
      <c r="AY25" s="33"/>
      <c r="AZ25" s="7">
        <f t="shared" si="8"/>
        <v>0</v>
      </c>
      <c r="BA25" s="33"/>
      <c r="BB25" s="33"/>
      <c r="BC25" s="7">
        <f t="shared" si="9"/>
        <v>0</v>
      </c>
      <c r="BD25" s="33"/>
      <c r="BE25" s="33"/>
      <c r="BF25" s="7">
        <f t="shared" si="10"/>
        <v>0</v>
      </c>
      <c r="BG25" s="33"/>
      <c r="BH25" s="33"/>
      <c r="BI25" s="7">
        <f t="shared" si="11"/>
        <v>0</v>
      </c>
      <c r="BJ25" s="33"/>
      <c r="BK25" s="33"/>
      <c r="BL25" s="7">
        <f t="shared" si="12"/>
        <v>0</v>
      </c>
      <c r="BM25" s="33"/>
      <c r="BN25" s="33"/>
      <c r="BO25" s="7">
        <f t="shared" si="13"/>
        <v>0</v>
      </c>
      <c r="BP25" s="33"/>
      <c r="BQ25" s="33"/>
      <c r="BR25" s="7">
        <f t="shared" si="14"/>
        <v>0</v>
      </c>
      <c r="BS25" s="33"/>
      <c r="BT25" s="33"/>
      <c r="BU25" s="7">
        <f t="shared" si="15"/>
        <v>0</v>
      </c>
      <c r="BV25" s="33">
        <v>0</v>
      </c>
      <c r="BW25" s="7">
        <f t="shared" si="16"/>
        <v>0</v>
      </c>
      <c r="BX25" s="7">
        <f t="shared" si="17"/>
        <v>0</v>
      </c>
      <c r="BY25" s="33"/>
      <c r="BZ25" s="7">
        <f t="shared" si="18"/>
        <v>500000</v>
      </c>
      <c r="CA25" s="7">
        <f t="shared" si="19"/>
        <v>500000</v>
      </c>
      <c r="CB25" s="15">
        <f t="shared" si="2"/>
        <v>0</v>
      </c>
      <c r="CC25" s="15">
        <f t="shared" si="3"/>
        <v>0</v>
      </c>
      <c r="CD25" s="492" t="s">
        <v>702</v>
      </c>
      <c r="CE25" s="33">
        <v>200000</v>
      </c>
      <c r="CF25" s="33">
        <v>200000</v>
      </c>
      <c r="CG25" s="33"/>
      <c r="CH25" s="33"/>
      <c r="CI25" s="33"/>
      <c r="CJ25" s="7">
        <f t="shared" si="25"/>
        <v>0</v>
      </c>
      <c r="CK25" s="33"/>
      <c r="CL25" s="7">
        <f t="shared" si="26"/>
        <v>0</v>
      </c>
      <c r="CM25" s="33"/>
      <c r="CN25" s="33">
        <v>0</v>
      </c>
      <c r="CO25" s="7">
        <f t="shared" si="27"/>
        <v>0</v>
      </c>
      <c r="CP25" s="7">
        <f t="shared" si="28"/>
        <v>0</v>
      </c>
      <c r="CQ25" s="7">
        <f t="shared" si="29"/>
        <v>0</v>
      </c>
      <c r="CR25" s="33"/>
      <c r="CS25" s="33"/>
      <c r="CT25" s="7">
        <f t="shared" si="30"/>
        <v>0</v>
      </c>
      <c r="CU25" s="33"/>
      <c r="CV25" s="33"/>
      <c r="CW25" s="7">
        <f t="shared" si="31"/>
        <v>0</v>
      </c>
      <c r="CX25" s="33"/>
      <c r="CY25" s="33"/>
      <c r="CZ25" s="7">
        <f t="shared" si="32"/>
        <v>0</v>
      </c>
      <c r="DA25" s="33"/>
      <c r="DB25" s="7">
        <f t="shared" si="33"/>
        <v>0</v>
      </c>
      <c r="DC25" s="33"/>
      <c r="DD25" s="7">
        <f t="shared" si="34"/>
        <v>0</v>
      </c>
      <c r="DE25" s="33"/>
      <c r="DF25" s="7">
        <f t="shared" si="35"/>
        <v>0</v>
      </c>
      <c r="DG25" s="33"/>
      <c r="DH25" s="7">
        <f t="shared" si="36"/>
        <v>0</v>
      </c>
      <c r="DI25" s="33"/>
      <c r="DJ25" s="7">
        <f t="shared" si="37"/>
        <v>0</v>
      </c>
      <c r="DK25" s="33"/>
      <c r="DL25" s="7">
        <f t="shared" si="38"/>
        <v>0</v>
      </c>
      <c r="DM25" s="33"/>
      <c r="DN25" s="14">
        <f t="shared" si="39"/>
        <v>0</v>
      </c>
      <c r="DO25" s="14">
        <f t="shared" si="40"/>
        <v>0</v>
      </c>
      <c r="DP25" s="7"/>
      <c r="DQ25" s="7">
        <f t="shared" si="41"/>
        <v>500000</v>
      </c>
      <c r="DR25" s="7">
        <f t="shared" si="42"/>
        <v>500000</v>
      </c>
      <c r="DS25" s="15">
        <f t="shared" si="43"/>
        <v>0</v>
      </c>
      <c r="DT25" s="15">
        <f t="shared" si="44"/>
        <v>0</v>
      </c>
      <c r="DU25" s="33">
        <v>10000000</v>
      </c>
      <c r="DV25" s="33"/>
      <c r="DW25" s="33"/>
      <c r="DX25" s="36"/>
      <c r="DY25" s="109"/>
    </row>
    <row r="26" spans="1:129" s="1" customFormat="1" ht="30">
      <c r="A26" s="12" t="s">
        <v>564</v>
      </c>
      <c r="B26" s="24" t="s">
        <v>62</v>
      </c>
      <c r="C26" s="8" t="s">
        <v>227</v>
      </c>
      <c r="D26" s="24" t="s">
        <v>13</v>
      </c>
      <c r="E26" s="3">
        <v>255005</v>
      </c>
      <c r="F26" s="406">
        <v>4</v>
      </c>
      <c r="G26" s="406">
        <v>36</v>
      </c>
      <c r="H26" s="406">
        <v>1505</v>
      </c>
      <c r="I26" s="9" t="s">
        <v>13</v>
      </c>
      <c r="J26" s="10" t="s">
        <v>13</v>
      </c>
      <c r="K26" s="3">
        <v>4</v>
      </c>
      <c r="L26" s="3">
        <v>36</v>
      </c>
      <c r="M26" s="45"/>
      <c r="N26" s="3" t="s">
        <v>186</v>
      </c>
      <c r="O26" s="3" t="s">
        <v>189</v>
      </c>
      <c r="P26" s="11" t="s">
        <v>187</v>
      </c>
      <c r="Q26" s="11" t="s">
        <v>187</v>
      </c>
      <c r="R26" s="11" t="s">
        <v>193</v>
      </c>
      <c r="S26" s="3" t="s">
        <v>188</v>
      </c>
      <c r="T26" s="12" t="s">
        <v>110</v>
      </c>
      <c r="U26" s="12" t="s">
        <v>222</v>
      </c>
      <c r="V26" s="12"/>
      <c r="W26" s="12" t="s">
        <v>36</v>
      </c>
      <c r="X26" s="12" t="s">
        <v>13</v>
      </c>
      <c r="Y26" s="25" t="s">
        <v>69</v>
      </c>
      <c r="Z26" s="399">
        <v>24</v>
      </c>
      <c r="AA26" s="10" t="s">
        <v>532</v>
      </c>
      <c r="AB26" s="110" t="s">
        <v>37</v>
      </c>
      <c r="AC26" s="33">
        <v>200000</v>
      </c>
      <c r="AD26" s="33"/>
      <c r="AE26" s="7">
        <f t="shared" si="23"/>
        <v>200000</v>
      </c>
      <c r="AF26" s="33">
        <v>300000</v>
      </c>
      <c r="AG26" s="33">
        <f t="shared" si="24"/>
        <v>500000</v>
      </c>
      <c r="AH26" s="33"/>
      <c r="AI26" s="7">
        <f t="shared" si="22"/>
        <v>500000</v>
      </c>
      <c r="AJ26" s="472"/>
      <c r="AK26" s="7">
        <v>500000</v>
      </c>
      <c r="AL26" s="33">
        <v>0</v>
      </c>
      <c r="AM26" s="33">
        <v>0</v>
      </c>
      <c r="AN26" s="7">
        <f t="shared" si="4"/>
        <v>0</v>
      </c>
      <c r="AO26" s="33"/>
      <c r="AP26" s="33"/>
      <c r="AQ26" s="7">
        <f t="shared" si="5"/>
        <v>0</v>
      </c>
      <c r="AR26" s="33"/>
      <c r="AS26" s="33"/>
      <c r="AT26" s="7">
        <f t="shared" si="6"/>
        <v>0</v>
      </c>
      <c r="AU26" s="33"/>
      <c r="AV26" s="33"/>
      <c r="AW26" s="7">
        <f t="shared" si="7"/>
        <v>0</v>
      </c>
      <c r="AX26" s="33"/>
      <c r="AY26" s="33"/>
      <c r="AZ26" s="7">
        <f t="shared" si="8"/>
        <v>0</v>
      </c>
      <c r="BA26" s="33"/>
      <c r="BB26" s="33"/>
      <c r="BC26" s="7">
        <f t="shared" si="9"/>
        <v>0</v>
      </c>
      <c r="BD26" s="33"/>
      <c r="BE26" s="33"/>
      <c r="BF26" s="7">
        <f t="shared" si="10"/>
        <v>0</v>
      </c>
      <c r="BG26" s="33"/>
      <c r="BH26" s="33"/>
      <c r="BI26" s="7">
        <f t="shared" si="11"/>
        <v>0</v>
      </c>
      <c r="BJ26" s="33"/>
      <c r="BK26" s="33"/>
      <c r="BL26" s="7">
        <f t="shared" si="12"/>
        <v>0</v>
      </c>
      <c r="BM26" s="33"/>
      <c r="BN26" s="33"/>
      <c r="BO26" s="7">
        <f t="shared" si="13"/>
        <v>0</v>
      </c>
      <c r="BP26" s="33"/>
      <c r="BQ26" s="33"/>
      <c r="BR26" s="7">
        <f t="shared" si="14"/>
        <v>0</v>
      </c>
      <c r="BS26" s="33"/>
      <c r="BT26" s="33"/>
      <c r="BU26" s="7">
        <f t="shared" si="15"/>
        <v>0</v>
      </c>
      <c r="BV26" s="33">
        <v>0</v>
      </c>
      <c r="BW26" s="7">
        <f t="shared" si="16"/>
        <v>0</v>
      </c>
      <c r="BX26" s="7">
        <f t="shared" si="17"/>
        <v>0</v>
      </c>
      <c r="BY26" s="33"/>
      <c r="BZ26" s="7">
        <f t="shared" si="18"/>
        <v>500000</v>
      </c>
      <c r="CA26" s="7">
        <f t="shared" si="19"/>
        <v>500000</v>
      </c>
      <c r="CB26" s="15">
        <f t="shared" si="2"/>
        <v>0</v>
      </c>
      <c r="CC26" s="15">
        <f t="shared" si="3"/>
        <v>0</v>
      </c>
      <c r="CD26" s="492" t="s">
        <v>702</v>
      </c>
      <c r="CE26" s="33">
        <v>200000</v>
      </c>
      <c r="CF26" s="33">
        <v>200000</v>
      </c>
      <c r="CG26" s="33"/>
      <c r="CH26" s="33"/>
      <c r="CI26" s="33"/>
      <c r="CJ26" s="7">
        <f t="shared" si="25"/>
        <v>0</v>
      </c>
      <c r="CK26" s="33"/>
      <c r="CL26" s="7">
        <f t="shared" si="26"/>
        <v>0</v>
      </c>
      <c r="CM26" s="33"/>
      <c r="CN26" s="33">
        <v>0</v>
      </c>
      <c r="CO26" s="7">
        <f t="shared" si="27"/>
        <v>0</v>
      </c>
      <c r="CP26" s="7">
        <f t="shared" si="28"/>
        <v>0</v>
      </c>
      <c r="CQ26" s="7">
        <f t="shared" si="29"/>
        <v>0</v>
      </c>
      <c r="CR26" s="33"/>
      <c r="CS26" s="33"/>
      <c r="CT26" s="7">
        <f t="shared" si="30"/>
        <v>0</v>
      </c>
      <c r="CU26" s="33"/>
      <c r="CV26" s="33"/>
      <c r="CW26" s="7">
        <f t="shared" si="31"/>
        <v>0</v>
      </c>
      <c r="CX26" s="33"/>
      <c r="CY26" s="33"/>
      <c r="CZ26" s="7">
        <f t="shared" si="32"/>
        <v>0</v>
      </c>
      <c r="DA26" s="33"/>
      <c r="DB26" s="7">
        <f t="shared" si="33"/>
        <v>0</v>
      </c>
      <c r="DC26" s="33"/>
      <c r="DD26" s="7">
        <f t="shared" si="34"/>
        <v>0</v>
      </c>
      <c r="DE26" s="33"/>
      <c r="DF26" s="7">
        <f t="shared" si="35"/>
        <v>0</v>
      </c>
      <c r="DG26" s="33"/>
      <c r="DH26" s="7">
        <f t="shared" si="36"/>
        <v>0</v>
      </c>
      <c r="DI26" s="33"/>
      <c r="DJ26" s="7">
        <f t="shared" si="37"/>
        <v>0</v>
      </c>
      <c r="DK26" s="33"/>
      <c r="DL26" s="7">
        <f t="shared" si="38"/>
        <v>0</v>
      </c>
      <c r="DM26" s="33"/>
      <c r="DN26" s="14">
        <f t="shared" si="39"/>
        <v>0</v>
      </c>
      <c r="DO26" s="14">
        <f t="shared" si="40"/>
        <v>0</v>
      </c>
      <c r="DP26" s="7"/>
      <c r="DQ26" s="7">
        <f t="shared" si="41"/>
        <v>500000</v>
      </c>
      <c r="DR26" s="7">
        <f t="shared" si="42"/>
        <v>500000</v>
      </c>
      <c r="DS26" s="15">
        <f t="shared" si="43"/>
        <v>0</v>
      </c>
      <c r="DT26" s="15">
        <f t="shared" si="44"/>
        <v>0</v>
      </c>
      <c r="DU26" s="33">
        <v>10000000</v>
      </c>
      <c r="DV26" s="33"/>
      <c r="DW26" s="33"/>
      <c r="DX26" s="36"/>
      <c r="DY26" s="109"/>
    </row>
    <row r="27" spans="1:129" s="1" customFormat="1">
      <c r="A27" s="12" t="s">
        <v>564</v>
      </c>
      <c r="B27" s="24" t="s">
        <v>62</v>
      </c>
      <c r="C27" s="8" t="s">
        <v>227</v>
      </c>
      <c r="D27" s="24" t="s">
        <v>13</v>
      </c>
      <c r="E27" s="3">
        <v>255005</v>
      </c>
      <c r="F27" s="406">
        <v>4</v>
      </c>
      <c r="G27" s="406">
        <v>36</v>
      </c>
      <c r="H27" s="406">
        <v>1506</v>
      </c>
      <c r="I27" s="9" t="s">
        <v>13</v>
      </c>
      <c r="J27" s="10" t="s">
        <v>13</v>
      </c>
      <c r="K27" s="3">
        <v>4</v>
      </c>
      <c r="L27" s="3">
        <v>36</v>
      </c>
      <c r="M27" s="45"/>
      <c r="N27" s="3" t="s">
        <v>186</v>
      </c>
      <c r="O27" s="3" t="s">
        <v>189</v>
      </c>
      <c r="P27" s="11" t="s">
        <v>187</v>
      </c>
      <c r="Q27" s="11" t="s">
        <v>187</v>
      </c>
      <c r="R27" s="11" t="s">
        <v>193</v>
      </c>
      <c r="S27" s="3" t="s">
        <v>188</v>
      </c>
      <c r="T27" s="12" t="s">
        <v>110</v>
      </c>
      <c r="U27" s="12" t="s">
        <v>222</v>
      </c>
      <c r="V27" s="12"/>
      <c r="W27" s="12" t="s">
        <v>36</v>
      </c>
      <c r="X27" s="12" t="s">
        <v>13</v>
      </c>
      <c r="Y27" s="25" t="s">
        <v>69</v>
      </c>
      <c r="Z27" s="25">
        <v>36</v>
      </c>
      <c r="AA27" s="10" t="s">
        <v>533</v>
      </c>
      <c r="AB27" s="110" t="s">
        <v>37</v>
      </c>
      <c r="AC27" s="33">
        <v>2500000</v>
      </c>
      <c r="AD27" s="33"/>
      <c r="AE27" s="7">
        <f t="shared" ref="AE27:AE32" si="45">AC27+AD27</f>
        <v>2500000</v>
      </c>
      <c r="AF27" s="33">
        <v>-2300000</v>
      </c>
      <c r="AG27" s="33">
        <f t="shared" si="24"/>
        <v>200000</v>
      </c>
      <c r="AH27" s="33"/>
      <c r="AI27" s="7">
        <f t="shared" si="22"/>
        <v>200000</v>
      </c>
      <c r="AJ27" s="472"/>
      <c r="AK27" s="7">
        <v>200000</v>
      </c>
      <c r="AL27" s="33">
        <v>0</v>
      </c>
      <c r="AM27" s="33">
        <v>0</v>
      </c>
      <c r="AN27" s="7">
        <f t="shared" si="4"/>
        <v>0</v>
      </c>
      <c r="AO27" s="33"/>
      <c r="AP27" s="33"/>
      <c r="AQ27" s="7">
        <f t="shared" si="5"/>
        <v>0</v>
      </c>
      <c r="AR27" s="33"/>
      <c r="AS27" s="33"/>
      <c r="AT27" s="7">
        <f t="shared" si="6"/>
        <v>0</v>
      </c>
      <c r="AU27" s="33"/>
      <c r="AV27" s="33"/>
      <c r="AW27" s="7">
        <f t="shared" si="7"/>
        <v>0</v>
      </c>
      <c r="AX27" s="33"/>
      <c r="AY27" s="33"/>
      <c r="AZ27" s="7">
        <f t="shared" si="8"/>
        <v>0</v>
      </c>
      <c r="BA27" s="33"/>
      <c r="BB27" s="33"/>
      <c r="BC27" s="7">
        <f t="shared" si="9"/>
        <v>0</v>
      </c>
      <c r="BD27" s="33"/>
      <c r="BE27" s="33"/>
      <c r="BF27" s="7">
        <f t="shared" si="10"/>
        <v>0</v>
      </c>
      <c r="BG27" s="33"/>
      <c r="BH27" s="33"/>
      <c r="BI27" s="7">
        <f t="shared" si="11"/>
        <v>0</v>
      </c>
      <c r="BJ27" s="33"/>
      <c r="BK27" s="33"/>
      <c r="BL27" s="7">
        <f t="shared" si="12"/>
        <v>0</v>
      </c>
      <c r="BM27" s="33"/>
      <c r="BN27" s="33"/>
      <c r="BO27" s="7">
        <f t="shared" si="13"/>
        <v>0</v>
      </c>
      <c r="BP27" s="33"/>
      <c r="BQ27" s="33"/>
      <c r="BR27" s="7">
        <f t="shared" si="14"/>
        <v>0</v>
      </c>
      <c r="BS27" s="33"/>
      <c r="BT27" s="33"/>
      <c r="BU27" s="7">
        <f t="shared" si="15"/>
        <v>0</v>
      </c>
      <c r="BV27" s="33">
        <v>0</v>
      </c>
      <c r="BW27" s="7">
        <f t="shared" si="16"/>
        <v>0</v>
      </c>
      <c r="BX27" s="7">
        <f t="shared" si="17"/>
        <v>0</v>
      </c>
      <c r="BY27" s="33"/>
      <c r="BZ27" s="7">
        <f t="shared" si="18"/>
        <v>200000</v>
      </c>
      <c r="CA27" s="7">
        <f t="shared" si="19"/>
        <v>200000</v>
      </c>
      <c r="CB27" s="15">
        <f t="shared" si="2"/>
        <v>0</v>
      </c>
      <c r="CC27" s="15">
        <f t="shared" si="3"/>
        <v>0</v>
      </c>
      <c r="CD27" s="492" t="s">
        <v>703</v>
      </c>
      <c r="CE27" s="33">
        <v>0</v>
      </c>
      <c r="CF27" s="33"/>
      <c r="CG27" s="33"/>
      <c r="CH27" s="33"/>
      <c r="CI27" s="33"/>
      <c r="CJ27" s="7">
        <f t="shared" ref="CJ27:CJ32" si="46">CI27</f>
        <v>0</v>
      </c>
      <c r="CK27" s="33"/>
      <c r="CL27" s="7">
        <f t="shared" ref="CL27:CL32" si="47">CK27</f>
        <v>0</v>
      </c>
      <c r="CM27" s="33"/>
      <c r="CN27" s="33">
        <v>0</v>
      </c>
      <c r="CO27" s="7">
        <f t="shared" ref="CO27:CO32" si="48">CM27+CN27</f>
        <v>0</v>
      </c>
      <c r="CP27" s="7">
        <f t="shared" ref="CP27:CP32" si="49">CI27+CK27+CM27</f>
        <v>0</v>
      </c>
      <c r="CQ27" s="7">
        <f t="shared" ref="CQ27:CQ32" si="50">CJ27+CL27+CO27</f>
        <v>0</v>
      </c>
      <c r="CR27" s="33"/>
      <c r="CS27" s="33"/>
      <c r="CT27" s="7">
        <f t="shared" ref="CT27:CT32" si="51">CR27+CS27</f>
        <v>0</v>
      </c>
      <c r="CU27" s="33"/>
      <c r="CV27" s="33"/>
      <c r="CW27" s="7">
        <f t="shared" ref="CW27:CW32" si="52">CU27+CV27</f>
        <v>0</v>
      </c>
      <c r="CX27" s="33"/>
      <c r="CY27" s="33"/>
      <c r="CZ27" s="7">
        <f t="shared" si="32"/>
        <v>0</v>
      </c>
      <c r="DA27" s="33"/>
      <c r="DB27" s="7">
        <f t="shared" ref="DB27:DB32" si="53">DA27</f>
        <v>0</v>
      </c>
      <c r="DC27" s="33"/>
      <c r="DD27" s="7">
        <f t="shared" ref="DD27:DD32" si="54">DC27</f>
        <v>0</v>
      </c>
      <c r="DE27" s="33"/>
      <c r="DF27" s="7">
        <f t="shared" ref="DF27:DF32" si="55">DE27</f>
        <v>0</v>
      </c>
      <c r="DG27" s="33"/>
      <c r="DH27" s="7">
        <f t="shared" ref="DH27:DH32" si="56">DG27</f>
        <v>0</v>
      </c>
      <c r="DI27" s="33"/>
      <c r="DJ27" s="7">
        <f t="shared" ref="DJ27:DJ32" si="57">DI27</f>
        <v>0</v>
      </c>
      <c r="DK27" s="33"/>
      <c r="DL27" s="7">
        <f t="shared" ref="DL27:DL32" si="58">DK27</f>
        <v>0</v>
      </c>
      <c r="DM27" s="33">
        <v>169290</v>
      </c>
      <c r="DN27" s="14">
        <f t="shared" ref="DN27:DN32" si="59">CI27+CK27+CM27+CR27+CU27+CX27+DA27+DC27+DE27+DG27+DI27+DK27</f>
        <v>0</v>
      </c>
      <c r="DO27" s="14">
        <f t="shared" si="40"/>
        <v>0</v>
      </c>
      <c r="DP27" s="7"/>
      <c r="DQ27" s="7">
        <f t="shared" si="41"/>
        <v>200000</v>
      </c>
      <c r="DR27" s="7">
        <f t="shared" si="42"/>
        <v>200000</v>
      </c>
      <c r="DS27" s="15">
        <f t="shared" si="43"/>
        <v>0</v>
      </c>
      <c r="DT27" s="15">
        <f t="shared" si="44"/>
        <v>0</v>
      </c>
      <c r="DU27" s="33"/>
      <c r="DV27" s="33"/>
      <c r="DW27" s="33"/>
      <c r="DX27" s="36"/>
      <c r="DY27" s="109"/>
    </row>
    <row r="28" spans="1:129" s="1" customFormat="1" ht="30">
      <c r="A28" s="12" t="s">
        <v>564</v>
      </c>
      <c r="B28" s="24" t="s">
        <v>62</v>
      </c>
      <c r="C28" s="8" t="s">
        <v>227</v>
      </c>
      <c r="D28" s="24" t="s">
        <v>13</v>
      </c>
      <c r="E28" s="3">
        <v>255005</v>
      </c>
      <c r="F28" s="406">
        <v>4</v>
      </c>
      <c r="G28" s="406">
        <v>36</v>
      </c>
      <c r="H28" s="406">
        <v>1507</v>
      </c>
      <c r="I28" s="9" t="s">
        <v>13</v>
      </c>
      <c r="J28" s="10" t="s">
        <v>13</v>
      </c>
      <c r="K28" s="3">
        <v>4</v>
      </c>
      <c r="L28" s="3">
        <v>36</v>
      </c>
      <c r="M28" s="45"/>
      <c r="N28" s="3" t="s">
        <v>186</v>
      </c>
      <c r="O28" s="3" t="s">
        <v>189</v>
      </c>
      <c r="P28" s="11" t="s">
        <v>187</v>
      </c>
      <c r="Q28" s="11" t="s">
        <v>187</v>
      </c>
      <c r="R28" s="11" t="s">
        <v>193</v>
      </c>
      <c r="S28" s="3" t="s">
        <v>188</v>
      </c>
      <c r="T28" s="12" t="s">
        <v>110</v>
      </c>
      <c r="U28" s="12" t="s">
        <v>222</v>
      </c>
      <c r="V28" s="12"/>
      <c r="W28" s="12" t="s">
        <v>36</v>
      </c>
      <c r="X28" s="12" t="s">
        <v>13</v>
      </c>
      <c r="Y28" s="25" t="s">
        <v>69</v>
      </c>
      <c r="Z28" s="25">
        <v>45</v>
      </c>
      <c r="AA28" s="391" t="s">
        <v>130</v>
      </c>
      <c r="AB28" s="110" t="s">
        <v>37</v>
      </c>
      <c r="AC28" s="33">
        <v>700000</v>
      </c>
      <c r="AD28" s="33"/>
      <c r="AE28" s="7">
        <f t="shared" si="45"/>
        <v>700000</v>
      </c>
      <c r="AF28" s="33"/>
      <c r="AG28" s="33">
        <f t="shared" si="24"/>
        <v>700000</v>
      </c>
      <c r="AH28" s="33"/>
      <c r="AI28" s="7">
        <f t="shared" si="22"/>
        <v>700000</v>
      </c>
      <c r="AJ28" s="472"/>
      <c r="AK28" s="7">
        <v>1500000</v>
      </c>
      <c r="AL28" s="33">
        <v>0</v>
      </c>
      <c r="AM28" s="33">
        <v>0</v>
      </c>
      <c r="AN28" s="7">
        <f t="shared" si="4"/>
        <v>0</v>
      </c>
      <c r="AO28" s="33"/>
      <c r="AP28" s="33"/>
      <c r="AQ28" s="7">
        <f t="shared" si="5"/>
        <v>0</v>
      </c>
      <c r="AR28" s="33"/>
      <c r="AS28" s="33"/>
      <c r="AT28" s="7">
        <f t="shared" si="6"/>
        <v>0</v>
      </c>
      <c r="AU28" s="33"/>
      <c r="AV28" s="33"/>
      <c r="AW28" s="7">
        <f t="shared" si="7"/>
        <v>0</v>
      </c>
      <c r="AX28" s="33"/>
      <c r="AY28" s="33"/>
      <c r="AZ28" s="7">
        <f t="shared" si="8"/>
        <v>0</v>
      </c>
      <c r="BA28" s="33"/>
      <c r="BB28" s="33"/>
      <c r="BC28" s="7">
        <f t="shared" si="9"/>
        <v>0</v>
      </c>
      <c r="BD28" s="33"/>
      <c r="BE28" s="33"/>
      <c r="BF28" s="7">
        <f t="shared" si="10"/>
        <v>0</v>
      </c>
      <c r="BG28" s="33"/>
      <c r="BH28" s="33"/>
      <c r="BI28" s="7">
        <f t="shared" si="11"/>
        <v>0</v>
      </c>
      <c r="BJ28" s="33"/>
      <c r="BK28" s="33"/>
      <c r="BL28" s="7">
        <f t="shared" si="12"/>
        <v>0</v>
      </c>
      <c r="BM28" s="33"/>
      <c r="BN28" s="33"/>
      <c r="BO28" s="7">
        <f t="shared" si="13"/>
        <v>0</v>
      </c>
      <c r="BP28" s="33"/>
      <c r="BQ28" s="33"/>
      <c r="BR28" s="7">
        <f t="shared" si="14"/>
        <v>0</v>
      </c>
      <c r="BS28" s="33"/>
      <c r="BT28" s="33"/>
      <c r="BU28" s="7">
        <f t="shared" si="15"/>
        <v>0</v>
      </c>
      <c r="BV28" s="33">
        <v>0</v>
      </c>
      <c r="BW28" s="7">
        <f t="shared" si="16"/>
        <v>0</v>
      </c>
      <c r="BX28" s="7">
        <f t="shared" si="17"/>
        <v>0</v>
      </c>
      <c r="BY28" s="33"/>
      <c r="BZ28" s="7">
        <f t="shared" si="18"/>
        <v>1500000</v>
      </c>
      <c r="CA28" s="7">
        <f t="shared" si="19"/>
        <v>1500000</v>
      </c>
      <c r="CB28" s="15">
        <f t="shared" si="2"/>
        <v>0</v>
      </c>
      <c r="CC28" s="15">
        <f t="shared" si="3"/>
        <v>0</v>
      </c>
      <c r="CD28" s="492" t="s">
        <v>704</v>
      </c>
      <c r="CE28" s="33">
        <v>4000000</v>
      </c>
      <c r="CF28" s="33">
        <v>6800000</v>
      </c>
      <c r="CG28" s="33"/>
      <c r="CH28" s="33"/>
      <c r="CI28" s="33"/>
      <c r="CJ28" s="7">
        <f t="shared" si="46"/>
        <v>0</v>
      </c>
      <c r="CK28" s="33"/>
      <c r="CL28" s="7">
        <f t="shared" si="47"/>
        <v>0</v>
      </c>
      <c r="CM28" s="33"/>
      <c r="CN28" s="33">
        <v>0</v>
      </c>
      <c r="CO28" s="7">
        <f t="shared" si="48"/>
        <v>0</v>
      </c>
      <c r="CP28" s="7">
        <f t="shared" si="49"/>
        <v>0</v>
      </c>
      <c r="CQ28" s="7">
        <f t="shared" si="50"/>
        <v>0</v>
      </c>
      <c r="CR28" s="33"/>
      <c r="CS28" s="33"/>
      <c r="CT28" s="7">
        <f t="shared" si="51"/>
        <v>0</v>
      </c>
      <c r="CU28" s="33"/>
      <c r="CV28" s="33"/>
      <c r="CW28" s="7">
        <f t="shared" si="52"/>
        <v>0</v>
      </c>
      <c r="CX28" s="33"/>
      <c r="CY28" s="33"/>
      <c r="CZ28" s="7">
        <f t="shared" si="32"/>
        <v>0</v>
      </c>
      <c r="DA28" s="33"/>
      <c r="DB28" s="7">
        <f t="shared" si="53"/>
        <v>0</v>
      </c>
      <c r="DC28" s="33"/>
      <c r="DD28" s="7">
        <f t="shared" si="54"/>
        <v>0</v>
      </c>
      <c r="DE28" s="33"/>
      <c r="DF28" s="7">
        <f t="shared" si="55"/>
        <v>0</v>
      </c>
      <c r="DG28" s="33"/>
      <c r="DH28" s="7">
        <f t="shared" si="56"/>
        <v>0</v>
      </c>
      <c r="DI28" s="33"/>
      <c r="DJ28" s="7">
        <f t="shared" si="57"/>
        <v>0</v>
      </c>
      <c r="DK28" s="33"/>
      <c r="DL28" s="7">
        <f t="shared" si="58"/>
        <v>0</v>
      </c>
      <c r="DM28" s="33"/>
      <c r="DN28" s="14">
        <f t="shared" si="59"/>
        <v>0</v>
      </c>
      <c r="DO28" s="14">
        <f t="shared" si="40"/>
        <v>0</v>
      </c>
      <c r="DP28" s="7"/>
      <c r="DQ28" s="7">
        <f t="shared" si="41"/>
        <v>700000</v>
      </c>
      <c r="DR28" s="7">
        <f t="shared" si="42"/>
        <v>700000</v>
      </c>
      <c r="DS28" s="15">
        <f t="shared" si="43"/>
        <v>0</v>
      </c>
      <c r="DT28" s="15">
        <f t="shared" si="44"/>
        <v>0</v>
      </c>
      <c r="DU28" s="33"/>
      <c r="DV28" s="33"/>
      <c r="DW28" s="33"/>
      <c r="DX28" s="36"/>
      <c r="DY28" s="109"/>
    </row>
    <row r="29" spans="1:129" s="1" customFormat="1">
      <c r="A29" s="12" t="s">
        <v>564</v>
      </c>
      <c r="B29" s="24" t="s">
        <v>62</v>
      </c>
      <c r="C29" s="8" t="s">
        <v>227</v>
      </c>
      <c r="D29" s="24" t="s">
        <v>13</v>
      </c>
      <c r="E29" s="3">
        <v>255005</v>
      </c>
      <c r="F29" s="406">
        <v>4</v>
      </c>
      <c r="G29" s="406">
        <v>36</v>
      </c>
      <c r="H29" s="406">
        <v>1508</v>
      </c>
      <c r="I29" s="9" t="s">
        <v>13</v>
      </c>
      <c r="J29" s="10" t="s">
        <v>13</v>
      </c>
      <c r="K29" s="3">
        <v>4</v>
      </c>
      <c r="L29" s="3">
        <v>36</v>
      </c>
      <c r="M29" s="45"/>
      <c r="N29" s="3" t="s">
        <v>186</v>
      </c>
      <c r="O29" s="3" t="s">
        <v>189</v>
      </c>
      <c r="P29" s="11" t="s">
        <v>187</v>
      </c>
      <c r="Q29" s="11" t="s">
        <v>187</v>
      </c>
      <c r="R29" s="11" t="s">
        <v>193</v>
      </c>
      <c r="S29" s="3" t="s">
        <v>188</v>
      </c>
      <c r="T29" s="12" t="s">
        <v>110</v>
      </c>
      <c r="U29" s="12" t="s">
        <v>222</v>
      </c>
      <c r="V29" s="12"/>
      <c r="W29" s="12" t="s">
        <v>36</v>
      </c>
      <c r="X29" s="12" t="s">
        <v>13</v>
      </c>
      <c r="Y29" s="25" t="s">
        <v>69</v>
      </c>
      <c r="Z29" s="25" t="s">
        <v>142</v>
      </c>
      <c r="AA29" s="10" t="s">
        <v>534</v>
      </c>
      <c r="AB29" s="110" t="s">
        <v>37</v>
      </c>
      <c r="AC29" s="33">
        <v>2500000</v>
      </c>
      <c r="AD29" s="33"/>
      <c r="AE29" s="7">
        <f t="shared" si="45"/>
        <v>2500000</v>
      </c>
      <c r="AF29" s="33">
        <v>1000000</v>
      </c>
      <c r="AG29" s="33">
        <f t="shared" si="24"/>
        <v>3500000</v>
      </c>
      <c r="AH29" s="33"/>
      <c r="AI29" s="7">
        <f t="shared" si="22"/>
        <v>3500000</v>
      </c>
      <c r="AJ29" s="472"/>
      <c r="AK29" s="7">
        <v>775000</v>
      </c>
      <c r="AL29" s="33">
        <v>0</v>
      </c>
      <c r="AM29" s="33">
        <v>0</v>
      </c>
      <c r="AN29" s="7">
        <f t="shared" si="4"/>
        <v>0</v>
      </c>
      <c r="AO29" s="33"/>
      <c r="AP29" s="33"/>
      <c r="AQ29" s="7">
        <f t="shared" si="5"/>
        <v>0</v>
      </c>
      <c r="AR29" s="33"/>
      <c r="AS29" s="33"/>
      <c r="AT29" s="7">
        <f t="shared" si="6"/>
        <v>0</v>
      </c>
      <c r="AU29" s="33"/>
      <c r="AV29" s="33"/>
      <c r="AW29" s="7">
        <f t="shared" si="7"/>
        <v>0</v>
      </c>
      <c r="AX29" s="33"/>
      <c r="AY29" s="33"/>
      <c r="AZ29" s="7">
        <f t="shared" si="8"/>
        <v>0</v>
      </c>
      <c r="BA29" s="33"/>
      <c r="BB29" s="33"/>
      <c r="BC29" s="7">
        <f t="shared" si="9"/>
        <v>0</v>
      </c>
      <c r="BD29" s="33"/>
      <c r="BE29" s="33"/>
      <c r="BF29" s="7">
        <f t="shared" si="10"/>
        <v>0</v>
      </c>
      <c r="BG29" s="33"/>
      <c r="BH29" s="33"/>
      <c r="BI29" s="7">
        <f t="shared" si="11"/>
        <v>0</v>
      </c>
      <c r="BJ29" s="33"/>
      <c r="BK29" s="33"/>
      <c r="BL29" s="7">
        <f t="shared" si="12"/>
        <v>0</v>
      </c>
      <c r="BM29" s="33"/>
      <c r="BN29" s="33"/>
      <c r="BO29" s="7">
        <f t="shared" si="13"/>
        <v>0</v>
      </c>
      <c r="BP29" s="33"/>
      <c r="BQ29" s="33"/>
      <c r="BR29" s="7">
        <f t="shared" si="14"/>
        <v>0</v>
      </c>
      <c r="BS29" s="33"/>
      <c r="BT29" s="33"/>
      <c r="BU29" s="7">
        <f t="shared" si="15"/>
        <v>0</v>
      </c>
      <c r="BV29" s="33">
        <v>0</v>
      </c>
      <c r="BW29" s="7">
        <f t="shared" si="16"/>
        <v>0</v>
      </c>
      <c r="BX29" s="7">
        <f t="shared" si="17"/>
        <v>0</v>
      </c>
      <c r="BY29" s="33"/>
      <c r="BZ29" s="7">
        <f t="shared" si="18"/>
        <v>775000</v>
      </c>
      <c r="CA29" s="7">
        <f t="shared" si="19"/>
        <v>775000</v>
      </c>
      <c r="CB29" s="15">
        <f t="shared" si="2"/>
        <v>0</v>
      </c>
      <c r="CC29" s="15">
        <f t="shared" si="3"/>
        <v>0</v>
      </c>
      <c r="CD29" s="493" t="s">
        <v>705</v>
      </c>
      <c r="CE29" s="33">
        <v>0</v>
      </c>
      <c r="CF29" s="33"/>
      <c r="CG29" s="33"/>
      <c r="CH29" s="33"/>
      <c r="CI29" s="33"/>
      <c r="CJ29" s="7">
        <f t="shared" si="46"/>
        <v>0</v>
      </c>
      <c r="CK29" s="33"/>
      <c r="CL29" s="7">
        <f t="shared" si="47"/>
        <v>0</v>
      </c>
      <c r="CM29" s="33">
        <v>81590</v>
      </c>
      <c r="CN29" s="33">
        <v>11422.6</v>
      </c>
      <c r="CO29" s="7">
        <f t="shared" si="48"/>
        <v>93012.6</v>
      </c>
      <c r="CP29" s="7">
        <f t="shared" si="49"/>
        <v>81590</v>
      </c>
      <c r="CQ29" s="7">
        <f t="shared" si="50"/>
        <v>93012.6</v>
      </c>
      <c r="CR29" s="33"/>
      <c r="CS29" s="33"/>
      <c r="CT29" s="7">
        <f t="shared" si="51"/>
        <v>0</v>
      </c>
      <c r="CU29" s="33"/>
      <c r="CV29" s="33"/>
      <c r="CW29" s="7">
        <f t="shared" si="52"/>
        <v>0</v>
      </c>
      <c r="CX29" s="33"/>
      <c r="CY29" s="33"/>
      <c r="CZ29" s="7">
        <f t="shared" si="32"/>
        <v>0</v>
      </c>
      <c r="DA29" s="33"/>
      <c r="DB29" s="7">
        <f t="shared" si="53"/>
        <v>0</v>
      </c>
      <c r="DC29" s="33"/>
      <c r="DD29" s="7">
        <f t="shared" si="54"/>
        <v>0</v>
      </c>
      <c r="DE29" s="33"/>
      <c r="DF29" s="7">
        <f t="shared" si="55"/>
        <v>0</v>
      </c>
      <c r="DG29" s="33"/>
      <c r="DH29" s="7">
        <f t="shared" si="56"/>
        <v>0</v>
      </c>
      <c r="DI29" s="33"/>
      <c r="DJ29" s="7">
        <f t="shared" si="57"/>
        <v>0</v>
      </c>
      <c r="DK29" s="33"/>
      <c r="DL29" s="7">
        <f t="shared" si="58"/>
        <v>0</v>
      </c>
      <c r="DM29" s="33"/>
      <c r="DN29" s="14">
        <f t="shared" si="59"/>
        <v>81590</v>
      </c>
      <c r="DO29" s="14">
        <f t="shared" si="40"/>
        <v>93012.6</v>
      </c>
      <c r="DP29" s="7"/>
      <c r="DQ29" s="7">
        <f t="shared" si="41"/>
        <v>3418410</v>
      </c>
      <c r="DR29" s="7">
        <f t="shared" si="42"/>
        <v>3406987.4</v>
      </c>
      <c r="DS29" s="15">
        <f t="shared" si="43"/>
        <v>2.331142857142857E-2</v>
      </c>
      <c r="DT29" s="15">
        <f t="shared" si="44"/>
        <v>2.6575028571428572E-2</v>
      </c>
      <c r="DU29" s="33"/>
      <c r="DV29" s="33"/>
      <c r="DW29" s="33"/>
      <c r="DX29" s="36"/>
      <c r="DY29" s="109"/>
    </row>
    <row r="30" spans="1:129" s="1" customFormat="1" ht="30">
      <c r="A30" s="12" t="s">
        <v>564</v>
      </c>
      <c r="B30" s="24" t="s">
        <v>62</v>
      </c>
      <c r="C30" s="8" t="s">
        <v>227</v>
      </c>
      <c r="D30" s="24"/>
      <c r="E30" s="3">
        <v>255005</v>
      </c>
      <c r="F30" s="406">
        <v>4</v>
      </c>
      <c r="G30" s="406">
        <v>35</v>
      </c>
      <c r="H30" s="406">
        <v>1505</v>
      </c>
      <c r="I30" s="9" t="s">
        <v>13</v>
      </c>
      <c r="J30" s="10" t="s">
        <v>13</v>
      </c>
      <c r="K30" s="3">
        <v>4</v>
      </c>
      <c r="L30" s="3">
        <v>35</v>
      </c>
      <c r="M30" s="45"/>
      <c r="N30" s="3" t="s">
        <v>186</v>
      </c>
      <c r="O30" s="3" t="s">
        <v>189</v>
      </c>
      <c r="P30" s="11" t="s">
        <v>187</v>
      </c>
      <c r="Q30" s="11" t="s">
        <v>187</v>
      </c>
      <c r="R30" s="11" t="s">
        <v>193</v>
      </c>
      <c r="S30" s="3" t="s">
        <v>188</v>
      </c>
      <c r="T30" s="12" t="s">
        <v>110</v>
      </c>
      <c r="U30" s="12" t="s">
        <v>222</v>
      </c>
      <c r="V30" s="12"/>
      <c r="W30" s="12" t="s">
        <v>36</v>
      </c>
      <c r="X30" s="12" t="s">
        <v>13</v>
      </c>
      <c r="Y30" s="25" t="s">
        <v>69</v>
      </c>
      <c r="Z30" s="399">
        <v>15</v>
      </c>
      <c r="AA30" s="10" t="s">
        <v>200</v>
      </c>
      <c r="AB30" s="110" t="s">
        <v>38</v>
      </c>
      <c r="AC30" s="33">
        <v>350000</v>
      </c>
      <c r="AD30" s="33"/>
      <c r="AE30" s="7">
        <f t="shared" si="45"/>
        <v>350000</v>
      </c>
      <c r="AF30" s="33"/>
      <c r="AG30" s="33">
        <f t="shared" si="24"/>
        <v>350000</v>
      </c>
      <c r="AH30" s="33"/>
      <c r="AI30" s="7">
        <f t="shared" si="22"/>
        <v>350000</v>
      </c>
      <c r="AJ30" s="472"/>
      <c r="AK30" s="7">
        <v>700000</v>
      </c>
      <c r="AL30" s="33">
        <v>0</v>
      </c>
      <c r="AM30" s="33">
        <v>0</v>
      </c>
      <c r="AN30" s="7">
        <f t="shared" si="4"/>
        <v>0</v>
      </c>
      <c r="AO30" s="33"/>
      <c r="AP30" s="33"/>
      <c r="AQ30" s="7">
        <f t="shared" si="5"/>
        <v>0</v>
      </c>
      <c r="AR30" s="33"/>
      <c r="AS30" s="33"/>
      <c r="AT30" s="7">
        <f t="shared" si="6"/>
        <v>0</v>
      </c>
      <c r="AU30" s="33"/>
      <c r="AV30" s="33"/>
      <c r="AW30" s="7">
        <f t="shared" si="7"/>
        <v>0</v>
      </c>
      <c r="AX30" s="33"/>
      <c r="AY30" s="33"/>
      <c r="AZ30" s="7">
        <f t="shared" si="8"/>
        <v>0</v>
      </c>
      <c r="BA30" s="33"/>
      <c r="BB30" s="33"/>
      <c r="BC30" s="7">
        <f t="shared" si="9"/>
        <v>0</v>
      </c>
      <c r="BD30" s="33"/>
      <c r="BE30" s="33"/>
      <c r="BF30" s="7">
        <f t="shared" si="10"/>
        <v>0</v>
      </c>
      <c r="BG30" s="33"/>
      <c r="BH30" s="33"/>
      <c r="BI30" s="7">
        <f t="shared" si="11"/>
        <v>0</v>
      </c>
      <c r="BJ30" s="33"/>
      <c r="BK30" s="33"/>
      <c r="BL30" s="7">
        <f t="shared" si="12"/>
        <v>0</v>
      </c>
      <c r="BM30" s="33"/>
      <c r="BN30" s="33"/>
      <c r="BO30" s="7">
        <f t="shared" si="13"/>
        <v>0</v>
      </c>
      <c r="BP30" s="33"/>
      <c r="BQ30" s="33"/>
      <c r="BR30" s="7">
        <f t="shared" si="14"/>
        <v>0</v>
      </c>
      <c r="BS30" s="33"/>
      <c r="BT30" s="33"/>
      <c r="BU30" s="7">
        <f t="shared" si="15"/>
        <v>0</v>
      </c>
      <c r="BV30" s="33">
        <v>0</v>
      </c>
      <c r="BW30" s="7">
        <f t="shared" si="16"/>
        <v>0</v>
      </c>
      <c r="BX30" s="7">
        <f t="shared" si="17"/>
        <v>0</v>
      </c>
      <c r="BY30" s="33"/>
      <c r="BZ30" s="7">
        <f t="shared" si="18"/>
        <v>700000</v>
      </c>
      <c r="CA30" s="7">
        <f t="shared" si="19"/>
        <v>700000</v>
      </c>
      <c r="CB30" s="15">
        <f t="shared" si="2"/>
        <v>0</v>
      </c>
      <c r="CC30" s="15">
        <f t="shared" si="3"/>
        <v>0</v>
      </c>
      <c r="CD30" s="491" t="s">
        <v>706</v>
      </c>
      <c r="CE30" s="33">
        <v>1300000</v>
      </c>
      <c r="CF30" s="33">
        <v>3300000</v>
      </c>
      <c r="CG30" s="33">
        <v>10000000</v>
      </c>
      <c r="CH30" s="33"/>
      <c r="CI30" s="33"/>
      <c r="CJ30" s="7">
        <f t="shared" si="46"/>
        <v>0</v>
      </c>
      <c r="CK30" s="33"/>
      <c r="CL30" s="7">
        <f t="shared" si="47"/>
        <v>0</v>
      </c>
      <c r="CM30" s="33"/>
      <c r="CN30" s="33"/>
      <c r="CO30" s="7">
        <f t="shared" si="48"/>
        <v>0</v>
      </c>
      <c r="CP30" s="7">
        <f t="shared" si="49"/>
        <v>0</v>
      </c>
      <c r="CQ30" s="7">
        <f t="shared" si="50"/>
        <v>0</v>
      </c>
      <c r="CR30" s="33"/>
      <c r="CS30" s="33"/>
      <c r="CT30" s="7">
        <f t="shared" si="51"/>
        <v>0</v>
      </c>
      <c r="CU30" s="33"/>
      <c r="CV30" s="33"/>
      <c r="CW30" s="7">
        <f t="shared" si="52"/>
        <v>0</v>
      </c>
      <c r="CX30" s="33"/>
      <c r="CY30" s="33"/>
      <c r="CZ30" s="7">
        <f t="shared" si="32"/>
        <v>0</v>
      </c>
      <c r="DA30" s="33"/>
      <c r="DB30" s="7">
        <f t="shared" si="53"/>
        <v>0</v>
      </c>
      <c r="DC30" s="33"/>
      <c r="DD30" s="7">
        <f t="shared" si="54"/>
        <v>0</v>
      </c>
      <c r="DE30" s="33"/>
      <c r="DF30" s="7">
        <f t="shared" si="55"/>
        <v>0</v>
      </c>
      <c r="DG30" s="33"/>
      <c r="DH30" s="7">
        <f t="shared" si="56"/>
        <v>0</v>
      </c>
      <c r="DI30" s="33"/>
      <c r="DJ30" s="7">
        <f t="shared" si="57"/>
        <v>0</v>
      </c>
      <c r="DK30" s="33"/>
      <c r="DL30" s="7">
        <f t="shared" si="58"/>
        <v>0</v>
      </c>
      <c r="DM30" s="33"/>
      <c r="DN30" s="14">
        <f t="shared" si="59"/>
        <v>0</v>
      </c>
      <c r="DO30" s="14">
        <f t="shared" si="40"/>
        <v>0</v>
      </c>
      <c r="DP30" s="7"/>
      <c r="DQ30" s="7">
        <f t="shared" si="41"/>
        <v>350000</v>
      </c>
      <c r="DR30" s="7">
        <f t="shared" si="42"/>
        <v>350000</v>
      </c>
      <c r="DS30" s="15">
        <f t="shared" si="43"/>
        <v>0</v>
      </c>
      <c r="DT30" s="15">
        <f t="shared" si="44"/>
        <v>0</v>
      </c>
      <c r="DU30" s="300"/>
      <c r="DV30" s="300"/>
      <c r="DW30" s="33"/>
      <c r="DX30" s="36"/>
      <c r="DY30" s="109"/>
    </row>
    <row r="31" spans="1:129" s="1" customFormat="1" ht="30">
      <c r="A31" s="12" t="s">
        <v>564</v>
      </c>
      <c r="B31" s="24" t="s">
        <v>62</v>
      </c>
      <c r="C31" s="8" t="s">
        <v>227</v>
      </c>
      <c r="D31" s="24"/>
      <c r="E31" s="3">
        <v>255005</v>
      </c>
      <c r="F31" s="406">
        <v>4</v>
      </c>
      <c r="G31" s="406">
        <v>35</v>
      </c>
      <c r="H31" s="406">
        <v>1506</v>
      </c>
      <c r="I31" s="9" t="s">
        <v>13</v>
      </c>
      <c r="J31" s="10" t="s">
        <v>13</v>
      </c>
      <c r="K31" s="3">
        <v>4</v>
      </c>
      <c r="L31" s="3">
        <v>35</v>
      </c>
      <c r="M31" s="45"/>
      <c r="N31" s="3" t="s">
        <v>186</v>
      </c>
      <c r="O31" s="3" t="s">
        <v>189</v>
      </c>
      <c r="P31" s="11" t="s">
        <v>187</v>
      </c>
      <c r="Q31" s="11" t="s">
        <v>187</v>
      </c>
      <c r="R31" s="11" t="s">
        <v>193</v>
      </c>
      <c r="S31" s="3" t="s">
        <v>188</v>
      </c>
      <c r="T31" s="12" t="s">
        <v>110</v>
      </c>
      <c r="U31" s="12" t="s">
        <v>222</v>
      </c>
      <c r="V31" s="12"/>
      <c r="W31" s="12" t="s">
        <v>36</v>
      </c>
      <c r="X31" s="12" t="s">
        <v>13</v>
      </c>
      <c r="Y31" s="25" t="s">
        <v>69</v>
      </c>
      <c r="Z31" s="25">
        <v>2</v>
      </c>
      <c r="AA31" s="10" t="s">
        <v>535</v>
      </c>
      <c r="AB31" s="110" t="s">
        <v>38</v>
      </c>
      <c r="AC31" s="36">
        <v>500000</v>
      </c>
      <c r="AD31" s="36"/>
      <c r="AE31" s="7">
        <f t="shared" si="45"/>
        <v>500000</v>
      </c>
      <c r="AF31" s="33"/>
      <c r="AG31" s="33">
        <f t="shared" ref="AG31:AG39" si="60">AE31+AF31</f>
        <v>500000</v>
      </c>
      <c r="AH31" s="33"/>
      <c r="AI31" s="7">
        <f t="shared" ref="AI31:AI45" si="61">+AG31+AH31</f>
        <v>500000</v>
      </c>
      <c r="AJ31" s="472"/>
      <c r="AK31" s="27">
        <v>700000</v>
      </c>
      <c r="AL31" s="36">
        <v>0</v>
      </c>
      <c r="AM31" s="36">
        <v>0</v>
      </c>
      <c r="AN31" s="7">
        <f t="shared" si="4"/>
        <v>0</v>
      </c>
      <c r="AO31" s="36"/>
      <c r="AP31" s="36"/>
      <c r="AQ31" s="7">
        <f t="shared" si="5"/>
        <v>0</v>
      </c>
      <c r="AR31" s="36"/>
      <c r="AS31" s="36"/>
      <c r="AT31" s="7">
        <f t="shared" si="6"/>
        <v>0</v>
      </c>
      <c r="AU31" s="33"/>
      <c r="AV31" s="33"/>
      <c r="AW31" s="7">
        <f t="shared" si="7"/>
        <v>0</v>
      </c>
      <c r="AX31" s="33"/>
      <c r="AY31" s="33"/>
      <c r="AZ31" s="7">
        <f t="shared" si="8"/>
        <v>0</v>
      </c>
      <c r="BA31" s="33"/>
      <c r="BB31" s="33"/>
      <c r="BC31" s="7">
        <f t="shared" si="9"/>
        <v>0</v>
      </c>
      <c r="BD31" s="33"/>
      <c r="BE31" s="33"/>
      <c r="BF31" s="7">
        <f t="shared" si="10"/>
        <v>0</v>
      </c>
      <c r="BG31" s="33"/>
      <c r="BH31" s="33"/>
      <c r="BI31" s="7">
        <f t="shared" si="11"/>
        <v>0</v>
      </c>
      <c r="BJ31" s="33"/>
      <c r="BK31" s="33"/>
      <c r="BL31" s="7">
        <f t="shared" si="12"/>
        <v>0</v>
      </c>
      <c r="BM31" s="33"/>
      <c r="BN31" s="33"/>
      <c r="BO31" s="7">
        <f t="shared" si="13"/>
        <v>0</v>
      </c>
      <c r="BP31" s="33"/>
      <c r="BQ31" s="33"/>
      <c r="BR31" s="7">
        <f t="shared" si="14"/>
        <v>0</v>
      </c>
      <c r="BS31" s="33"/>
      <c r="BT31" s="33"/>
      <c r="BU31" s="7">
        <f t="shared" si="15"/>
        <v>0</v>
      </c>
      <c r="BV31" s="33">
        <v>0</v>
      </c>
      <c r="BW31" s="7">
        <f t="shared" si="16"/>
        <v>0</v>
      </c>
      <c r="BX31" s="7">
        <f t="shared" si="17"/>
        <v>0</v>
      </c>
      <c r="BY31" s="33"/>
      <c r="BZ31" s="7">
        <f t="shared" si="18"/>
        <v>700000</v>
      </c>
      <c r="CA31" s="7">
        <f t="shared" si="19"/>
        <v>700000</v>
      </c>
      <c r="CB31" s="15">
        <f t="shared" si="2"/>
        <v>0</v>
      </c>
      <c r="CC31" s="15">
        <f t="shared" si="3"/>
        <v>0</v>
      </c>
      <c r="CD31" s="491" t="s">
        <v>707</v>
      </c>
      <c r="CE31" s="36">
        <v>1300000</v>
      </c>
      <c r="CF31" s="33">
        <v>2000000</v>
      </c>
      <c r="CG31" s="33">
        <v>10000000</v>
      </c>
      <c r="CH31" s="33"/>
      <c r="CI31" s="36"/>
      <c r="CJ31" s="7">
        <f t="shared" si="46"/>
        <v>0</v>
      </c>
      <c r="CK31" s="36"/>
      <c r="CL31" s="7">
        <f t="shared" si="47"/>
        <v>0</v>
      </c>
      <c r="CM31" s="36"/>
      <c r="CN31" s="36"/>
      <c r="CO31" s="7">
        <f t="shared" si="48"/>
        <v>0</v>
      </c>
      <c r="CP31" s="7">
        <f t="shared" si="49"/>
        <v>0</v>
      </c>
      <c r="CQ31" s="7">
        <f t="shared" si="50"/>
        <v>0</v>
      </c>
      <c r="CR31" s="36">
        <v>3707.64</v>
      </c>
      <c r="CS31" s="36"/>
      <c r="CT31" s="7">
        <f t="shared" si="51"/>
        <v>3707.64</v>
      </c>
      <c r="CU31" s="36">
        <v>-3707.64</v>
      </c>
      <c r="CV31" s="36"/>
      <c r="CW31" s="7">
        <f t="shared" si="52"/>
        <v>-3707.64</v>
      </c>
      <c r="CX31" s="36"/>
      <c r="CY31" s="36"/>
      <c r="CZ31" s="7">
        <f t="shared" ref="CZ31:CZ36" si="62">CX31+CY31</f>
        <v>0</v>
      </c>
      <c r="DA31" s="36"/>
      <c r="DB31" s="7">
        <f t="shared" si="53"/>
        <v>0</v>
      </c>
      <c r="DC31" s="36"/>
      <c r="DD31" s="7">
        <f t="shared" si="54"/>
        <v>0</v>
      </c>
      <c r="DE31" s="36"/>
      <c r="DF31" s="7">
        <f t="shared" si="55"/>
        <v>0</v>
      </c>
      <c r="DG31" s="36"/>
      <c r="DH31" s="7">
        <f t="shared" si="56"/>
        <v>0</v>
      </c>
      <c r="DI31" s="36"/>
      <c r="DJ31" s="7">
        <f t="shared" si="57"/>
        <v>0</v>
      </c>
      <c r="DK31" s="36"/>
      <c r="DL31" s="7">
        <f t="shared" si="58"/>
        <v>0</v>
      </c>
      <c r="DM31" s="36"/>
      <c r="DN31" s="14">
        <f t="shared" si="59"/>
        <v>0</v>
      </c>
      <c r="DO31" s="14">
        <f t="shared" ref="DO31:DO36" si="63">CJ31+CL31+CO31+CT31+CW31+CZ31</f>
        <v>0</v>
      </c>
      <c r="DP31" s="7"/>
      <c r="DQ31" s="7">
        <f t="shared" ref="DQ31:DQ36" si="64">AG31-DN31</f>
        <v>500000</v>
      </c>
      <c r="DR31" s="7">
        <f t="shared" ref="DR31:DR36" si="65">AG31-DO31</f>
        <v>500000</v>
      </c>
      <c r="DS31" s="15">
        <f t="shared" ref="DS31:DS45" si="66">DN31/AG31</f>
        <v>0</v>
      </c>
      <c r="DT31" s="15">
        <f t="shared" ref="DT31:DT45" si="67">DO31/AG31</f>
        <v>0</v>
      </c>
      <c r="DU31" s="300"/>
      <c r="DV31" s="300"/>
      <c r="DW31" s="33"/>
      <c r="DX31" s="36"/>
      <c r="DY31" s="109"/>
    </row>
    <row r="32" spans="1:129" s="1" customFormat="1" ht="30">
      <c r="A32" s="12" t="s">
        <v>564</v>
      </c>
      <c r="B32" s="24" t="s">
        <v>62</v>
      </c>
      <c r="C32" s="8" t="s">
        <v>227</v>
      </c>
      <c r="D32" s="24"/>
      <c r="E32" s="3">
        <v>255005</v>
      </c>
      <c r="F32" s="406">
        <v>4</v>
      </c>
      <c r="G32" s="406">
        <v>35</v>
      </c>
      <c r="H32" s="406">
        <v>1507</v>
      </c>
      <c r="I32" s="9" t="s">
        <v>13</v>
      </c>
      <c r="J32" s="10" t="s">
        <v>13</v>
      </c>
      <c r="K32" s="3">
        <v>4</v>
      </c>
      <c r="L32" s="3">
        <v>35</v>
      </c>
      <c r="M32" s="45"/>
      <c r="N32" s="3" t="s">
        <v>186</v>
      </c>
      <c r="O32" s="3" t="s">
        <v>189</v>
      </c>
      <c r="P32" s="11" t="s">
        <v>187</v>
      </c>
      <c r="Q32" s="11" t="s">
        <v>187</v>
      </c>
      <c r="R32" s="11" t="s">
        <v>193</v>
      </c>
      <c r="S32" s="3" t="s">
        <v>188</v>
      </c>
      <c r="T32" s="12" t="s">
        <v>110</v>
      </c>
      <c r="U32" s="12" t="s">
        <v>222</v>
      </c>
      <c r="V32" s="12"/>
      <c r="W32" s="12" t="s">
        <v>36</v>
      </c>
      <c r="X32" s="12" t="s">
        <v>13</v>
      </c>
      <c r="Y32" s="25" t="s">
        <v>69</v>
      </c>
      <c r="Z32" s="25">
        <v>2</v>
      </c>
      <c r="AA32" s="10" t="s">
        <v>536</v>
      </c>
      <c r="AB32" s="110" t="s">
        <v>38</v>
      </c>
      <c r="AC32" s="36">
        <v>500000</v>
      </c>
      <c r="AD32" s="36"/>
      <c r="AE32" s="7">
        <f t="shared" si="45"/>
        <v>500000</v>
      </c>
      <c r="AF32" s="33"/>
      <c r="AG32" s="33">
        <f t="shared" si="60"/>
        <v>500000</v>
      </c>
      <c r="AH32" s="33"/>
      <c r="AI32" s="7">
        <f t="shared" si="61"/>
        <v>500000</v>
      </c>
      <c r="AJ32" s="472"/>
      <c r="AK32" s="27">
        <v>700000</v>
      </c>
      <c r="AL32" s="36">
        <v>0</v>
      </c>
      <c r="AM32" s="36">
        <v>0</v>
      </c>
      <c r="AN32" s="7">
        <f t="shared" si="4"/>
        <v>0</v>
      </c>
      <c r="AO32" s="36"/>
      <c r="AP32" s="36"/>
      <c r="AQ32" s="7">
        <f t="shared" si="5"/>
        <v>0</v>
      </c>
      <c r="AR32" s="36"/>
      <c r="AS32" s="36"/>
      <c r="AT32" s="7">
        <f t="shared" si="6"/>
        <v>0</v>
      </c>
      <c r="AU32" s="33"/>
      <c r="AV32" s="33"/>
      <c r="AW32" s="7">
        <f t="shared" si="7"/>
        <v>0</v>
      </c>
      <c r="AX32" s="33"/>
      <c r="AY32" s="33"/>
      <c r="AZ32" s="7">
        <f t="shared" si="8"/>
        <v>0</v>
      </c>
      <c r="BA32" s="33"/>
      <c r="BB32" s="33"/>
      <c r="BC32" s="7">
        <f t="shared" si="9"/>
        <v>0</v>
      </c>
      <c r="BD32" s="33"/>
      <c r="BE32" s="33"/>
      <c r="BF32" s="7">
        <f t="shared" si="10"/>
        <v>0</v>
      </c>
      <c r="BG32" s="33"/>
      <c r="BH32" s="33"/>
      <c r="BI32" s="7">
        <f t="shared" si="11"/>
        <v>0</v>
      </c>
      <c r="BJ32" s="33"/>
      <c r="BK32" s="33"/>
      <c r="BL32" s="7">
        <f t="shared" si="12"/>
        <v>0</v>
      </c>
      <c r="BM32" s="33"/>
      <c r="BN32" s="33"/>
      <c r="BO32" s="7">
        <f t="shared" si="13"/>
        <v>0</v>
      </c>
      <c r="BP32" s="33"/>
      <c r="BQ32" s="33"/>
      <c r="BR32" s="7">
        <f t="shared" si="14"/>
        <v>0</v>
      </c>
      <c r="BS32" s="33"/>
      <c r="BT32" s="33"/>
      <c r="BU32" s="7">
        <f t="shared" si="15"/>
        <v>0</v>
      </c>
      <c r="BV32" s="33">
        <v>0</v>
      </c>
      <c r="BW32" s="7">
        <f t="shared" si="16"/>
        <v>0</v>
      </c>
      <c r="BX32" s="7">
        <f t="shared" si="17"/>
        <v>0</v>
      </c>
      <c r="BY32" s="33"/>
      <c r="BZ32" s="7">
        <f t="shared" si="18"/>
        <v>700000</v>
      </c>
      <c r="CA32" s="7">
        <f t="shared" si="19"/>
        <v>700000</v>
      </c>
      <c r="CB32" s="15">
        <f t="shared" si="2"/>
        <v>0</v>
      </c>
      <c r="CC32" s="15">
        <f t="shared" si="3"/>
        <v>0</v>
      </c>
      <c r="CD32" s="491" t="s">
        <v>707</v>
      </c>
      <c r="CE32" s="36">
        <v>1300000</v>
      </c>
      <c r="CF32" s="33">
        <v>2000000</v>
      </c>
      <c r="CG32" s="33">
        <v>10000000</v>
      </c>
      <c r="CH32" s="33"/>
      <c r="CI32" s="36"/>
      <c r="CJ32" s="7">
        <f t="shared" si="46"/>
        <v>0</v>
      </c>
      <c r="CK32" s="36"/>
      <c r="CL32" s="7">
        <f t="shared" si="47"/>
        <v>0</v>
      </c>
      <c r="CM32" s="36"/>
      <c r="CN32" s="36"/>
      <c r="CO32" s="7">
        <f t="shared" si="48"/>
        <v>0</v>
      </c>
      <c r="CP32" s="7">
        <f t="shared" si="49"/>
        <v>0</v>
      </c>
      <c r="CQ32" s="7">
        <f t="shared" si="50"/>
        <v>0</v>
      </c>
      <c r="CR32" s="36"/>
      <c r="CS32" s="36"/>
      <c r="CT32" s="7">
        <f t="shared" si="51"/>
        <v>0</v>
      </c>
      <c r="CU32" s="36"/>
      <c r="CV32" s="36"/>
      <c r="CW32" s="7">
        <f t="shared" si="52"/>
        <v>0</v>
      </c>
      <c r="CX32" s="36"/>
      <c r="CY32" s="36"/>
      <c r="CZ32" s="7">
        <f t="shared" si="62"/>
        <v>0</v>
      </c>
      <c r="DA32" s="36"/>
      <c r="DB32" s="7">
        <f t="shared" si="53"/>
        <v>0</v>
      </c>
      <c r="DC32" s="36"/>
      <c r="DD32" s="7">
        <f t="shared" si="54"/>
        <v>0</v>
      </c>
      <c r="DE32" s="36"/>
      <c r="DF32" s="7">
        <f t="shared" si="55"/>
        <v>0</v>
      </c>
      <c r="DG32" s="36"/>
      <c r="DH32" s="7">
        <f t="shared" si="56"/>
        <v>0</v>
      </c>
      <c r="DI32" s="36"/>
      <c r="DJ32" s="7">
        <f t="shared" si="57"/>
        <v>0</v>
      </c>
      <c r="DK32" s="36"/>
      <c r="DL32" s="7">
        <f t="shared" si="58"/>
        <v>0</v>
      </c>
      <c r="DM32" s="36"/>
      <c r="DN32" s="14">
        <f t="shared" si="59"/>
        <v>0</v>
      </c>
      <c r="DO32" s="14">
        <f t="shared" si="63"/>
        <v>0</v>
      </c>
      <c r="DP32" s="7"/>
      <c r="DQ32" s="7">
        <f t="shared" si="64"/>
        <v>500000</v>
      </c>
      <c r="DR32" s="7">
        <f t="shared" si="65"/>
        <v>500000</v>
      </c>
      <c r="DS32" s="15">
        <f t="shared" si="66"/>
        <v>0</v>
      </c>
      <c r="DT32" s="15">
        <f t="shared" si="67"/>
        <v>0</v>
      </c>
      <c r="DU32" s="300"/>
      <c r="DV32" s="300"/>
      <c r="DW32" s="33"/>
      <c r="DX32" s="36"/>
      <c r="DY32" s="109"/>
    </row>
    <row r="33" spans="1:129" s="1" customFormat="1" ht="30">
      <c r="A33" s="12" t="s">
        <v>564</v>
      </c>
      <c r="B33" s="24" t="s">
        <v>62</v>
      </c>
      <c r="C33" s="8" t="s">
        <v>227</v>
      </c>
      <c r="D33" s="24" t="s">
        <v>13</v>
      </c>
      <c r="E33" s="3">
        <v>255005</v>
      </c>
      <c r="F33" s="406">
        <v>4</v>
      </c>
      <c r="G33" s="406">
        <v>36</v>
      </c>
      <c r="H33" s="406">
        <v>1509</v>
      </c>
      <c r="I33" s="9" t="s">
        <v>13</v>
      </c>
      <c r="J33" s="10" t="s">
        <v>13</v>
      </c>
      <c r="K33" s="3">
        <v>4</v>
      </c>
      <c r="L33" s="3">
        <v>36</v>
      </c>
      <c r="M33" s="45"/>
      <c r="N33" s="3" t="s">
        <v>186</v>
      </c>
      <c r="O33" s="3" t="s">
        <v>189</v>
      </c>
      <c r="P33" s="11" t="s">
        <v>187</v>
      </c>
      <c r="Q33" s="11" t="s">
        <v>187</v>
      </c>
      <c r="R33" s="11" t="s">
        <v>193</v>
      </c>
      <c r="S33" s="3" t="s">
        <v>188</v>
      </c>
      <c r="T33" s="12" t="s">
        <v>110</v>
      </c>
      <c r="U33" s="12" t="s">
        <v>222</v>
      </c>
      <c r="V33" s="12"/>
      <c r="W33" s="12" t="s">
        <v>36</v>
      </c>
      <c r="X33" s="12" t="s">
        <v>13</v>
      </c>
      <c r="Y33" s="25" t="s">
        <v>69</v>
      </c>
      <c r="Z33" s="399">
        <v>23</v>
      </c>
      <c r="AA33" s="9" t="s">
        <v>537</v>
      </c>
      <c r="AB33" s="110" t="s">
        <v>37</v>
      </c>
      <c r="AC33" s="33">
        <v>3000000</v>
      </c>
      <c r="AD33" s="33"/>
      <c r="AE33" s="7">
        <f t="shared" ref="AE33:AE39" si="68">AC33+AD33</f>
        <v>3000000</v>
      </c>
      <c r="AF33" s="33"/>
      <c r="AG33" s="33">
        <f t="shared" si="60"/>
        <v>3000000</v>
      </c>
      <c r="AH33" s="33">
        <v>-1000000</v>
      </c>
      <c r="AI33" s="7">
        <f t="shared" si="61"/>
        <v>2000000</v>
      </c>
      <c r="AJ33" s="472"/>
      <c r="AK33" s="7">
        <v>10000000</v>
      </c>
      <c r="AL33" s="33">
        <v>0</v>
      </c>
      <c r="AM33" s="33">
        <v>0</v>
      </c>
      <c r="AN33" s="7">
        <f t="shared" si="4"/>
        <v>0</v>
      </c>
      <c r="AO33" s="33"/>
      <c r="AP33" s="33"/>
      <c r="AQ33" s="7">
        <f t="shared" si="5"/>
        <v>0</v>
      </c>
      <c r="AR33" s="33"/>
      <c r="AS33" s="33"/>
      <c r="AT33" s="7">
        <f t="shared" si="6"/>
        <v>0</v>
      </c>
      <c r="AU33" s="33"/>
      <c r="AV33" s="33"/>
      <c r="AW33" s="7">
        <f t="shared" si="7"/>
        <v>0</v>
      </c>
      <c r="AX33" s="33"/>
      <c r="AY33" s="33"/>
      <c r="AZ33" s="7">
        <f t="shared" si="8"/>
        <v>0</v>
      </c>
      <c r="BA33" s="33"/>
      <c r="BB33" s="33"/>
      <c r="BC33" s="7">
        <f t="shared" si="9"/>
        <v>0</v>
      </c>
      <c r="BD33" s="33"/>
      <c r="BE33" s="33"/>
      <c r="BF33" s="7">
        <f t="shared" si="10"/>
        <v>0</v>
      </c>
      <c r="BG33" s="33"/>
      <c r="BH33" s="33"/>
      <c r="BI33" s="7">
        <f t="shared" si="11"/>
        <v>0</v>
      </c>
      <c r="BJ33" s="33"/>
      <c r="BK33" s="33"/>
      <c r="BL33" s="7">
        <f t="shared" si="12"/>
        <v>0</v>
      </c>
      <c r="BM33" s="33"/>
      <c r="BN33" s="33"/>
      <c r="BO33" s="7">
        <f t="shared" si="13"/>
        <v>0</v>
      </c>
      <c r="BP33" s="33"/>
      <c r="BQ33" s="33"/>
      <c r="BR33" s="7">
        <f t="shared" si="14"/>
        <v>0</v>
      </c>
      <c r="BS33" s="33"/>
      <c r="BT33" s="33"/>
      <c r="BU33" s="7">
        <f t="shared" si="15"/>
        <v>0</v>
      </c>
      <c r="BV33" s="33">
        <v>0</v>
      </c>
      <c r="BW33" s="7">
        <f t="shared" si="16"/>
        <v>0</v>
      </c>
      <c r="BX33" s="7">
        <f t="shared" si="17"/>
        <v>0</v>
      </c>
      <c r="BY33" s="33"/>
      <c r="BZ33" s="7">
        <f t="shared" si="18"/>
        <v>10000000</v>
      </c>
      <c r="CA33" s="7">
        <f t="shared" si="19"/>
        <v>10000000</v>
      </c>
      <c r="CB33" s="15">
        <f t="shared" si="2"/>
        <v>0</v>
      </c>
      <c r="CC33" s="15">
        <f t="shared" si="3"/>
        <v>0</v>
      </c>
      <c r="CD33" s="492" t="s">
        <v>767</v>
      </c>
      <c r="CE33" s="33">
        <f>13500000-5000000</f>
        <v>8500000</v>
      </c>
      <c r="CF33" s="33">
        <f>13500000+5000000</f>
        <v>18500000</v>
      </c>
      <c r="CG33" s="33"/>
      <c r="CH33" s="33"/>
      <c r="CI33" s="33"/>
      <c r="CJ33" s="7">
        <f>CI33</f>
        <v>0</v>
      </c>
      <c r="CK33" s="33"/>
      <c r="CL33" s="7">
        <f>CK33</f>
        <v>0</v>
      </c>
      <c r="CM33" s="33"/>
      <c r="CN33" s="33">
        <v>0</v>
      </c>
      <c r="CO33" s="7">
        <f>CM33+CN33</f>
        <v>0</v>
      </c>
      <c r="CP33" s="7">
        <f>CI33+CK33+CM33</f>
        <v>0</v>
      </c>
      <c r="CQ33" s="7">
        <f>CJ33+CL33+CO33</f>
        <v>0</v>
      </c>
      <c r="CR33" s="33"/>
      <c r="CS33" s="33"/>
      <c r="CT33" s="7">
        <f>CR33+CS33</f>
        <v>0</v>
      </c>
      <c r="CU33" s="33"/>
      <c r="CV33" s="33">
        <v>382.04</v>
      </c>
      <c r="CW33" s="7">
        <f>CU33+CV33</f>
        <v>382.04</v>
      </c>
      <c r="CX33" s="33"/>
      <c r="CY33" s="33"/>
      <c r="CZ33" s="7">
        <f t="shared" si="62"/>
        <v>0</v>
      </c>
      <c r="DA33" s="33"/>
      <c r="DB33" s="7">
        <f>DA33</f>
        <v>0</v>
      </c>
      <c r="DC33" s="33"/>
      <c r="DD33" s="7">
        <f>DC33</f>
        <v>0</v>
      </c>
      <c r="DE33" s="33"/>
      <c r="DF33" s="7">
        <f>DE33</f>
        <v>0</v>
      </c>
      <c r="DG33" s="33"/>
      <c r="DH33" s="7">
        <f>DG33</f>
        <v>0</v>
      </c>
      <c r="DI33" s="33"/>
      <c r="DJ33" s="7">
        <f>DI33</f>
        <v>0</v>
      </c>
      <c r="DK33" s="33"/>
      <c r="DL33" s="7">
        <f>DK33</f>
        <v>0</v>
      </c>
      <c r="DM33" s="33"/>
      <c r="DN33" s="14">
        <f>CI33+CK33+CM33+CR33+CU33+CX33+DA33+DC33+DE33+DG33+DI33+DK33</f>
        <v>0</v>
      </c>
      <c r="DO33" s="14">
        <f t="shared" si="63"/>
        <v>382.04</v>
      </c>
      <c r="DP33" s="7"/>
      <c r="DQ33" s="7">
        <f t="shared" si="64"/>
        <v>3000000</v>
      </c>
      <c r="DR33" s="7">
        <f t="shared" si="65"/>
        <v>2999617.96</v>
      </c>
      <c r="DS33" s="15">
        <f t="shared" si="66"/>
        <v>0</v>
      </c>
      <c r="DT33" s="15">
        <f t="shared" si="67"/>
        <v>1.2734666666666666E-4</v>
      </c>
      <c r="DU33" s="33">
        <v>16500000</v>
      </c>
      <c r="DV33" s="33"/>
      <c r="DW33" s="33"/>
      <c r="DX33" s="36"/>
      <c r="DY33" s="109"/>
    </row>
    <row r="34" spans="1:129" s="1" customFormat="1" ht="30">
      <c r="A34" s="12" t="s">
        <v>564</v>
      </c>
      <c r="B34" s="24" t="s">
        <v>62</v>
      </c>
      <c r="C34" s="8" t="s">
        <v>227</v>
      </c>
      <c r="D34" s="24" t="s">
        <v>13</v>
      </c>
      <c r="E34" s="3">
        <v>255005</v>
      </c>
      <c r="F34" s="406">
        <v>4</v>
      </c>
      <c r="G34" s="406">
        <v>36</v>
      </c>
      <c r="H34" s="406">
        <v>1510</v>
      </c>
      <c r="I34" s="9" t="s">
        <v>13</v>
      </c>
      <c r="J34" s="10" t="s">
        <v>13</v>
      </c>
      <c r="K34" s="3">
        <v>4</v>
      </c>
      <c r="L34" s="3">
        <v>36</v>
      </c>
      <c r="M34" s="45"/>
      <c r="N34" s="3" t="s">
        <v>186</v>
      </c>
      <c r="O34" s="3" t="s">
        <v>189</v>
      </c>
      <c r="P34" s="11" t="s">
        <v>187</v>
      </c>
      <c r="Q34" s="11" t="s">
        <v>187</v>
      </c>
      <c r="R34" s="11" t="s">
        <v>193</v>
      </c>
      <c r="S34" s="3" t="s">
        <v>188</v>
      </c>
      <c r="T34" s="12" t="s">
        <v>110</v>
      </c>
      <c r="U34" s="12" t="s">
        <v>222</v>
      </c>
      <c r="V34" s="12"/>
      <c r="W34" s="12" t="s">
        <v>36</v>
      </c>
      <c r="X34" s="12" t="s">
        <v>13</v>
      </c>
      <c r="Y34" s="25" t="s">
        <v>69</v>
      </c>
      <c r="Z34" s="25">
        <v>1</v>
      </c>
      <c r="AA34" s="10" t="s">
        <v>538</v>
      </c>
      <c r="AB34" s="110" t="s">
        <v>37</v>
      </c>
      <c r="AC34" s="33">
        <v>500000</v>
      </c>
      <c r="AD34" s="33"/>
      <c r="AE34" s="7">
        <f t="shared" si="68"/>
        <v>500000</v>
      </c>
      <c r="AF34" s="33">
        <v>1831500</v>
      </c>
      <c r="AG34" s="33">
        <f t="shared" si="60"/>
        <v>2331500</v>
      </c>
      <c r="AH34" s="33"/>
      <c r="AI34" s="7">
        <f t="shared" si="61"/>
        <v>2331500</v>
      </c>
      <c r="AJ34" s="472"/>
      <c r="AK34" s="7">
        <v>1000000</v>
      </c>
      <c r="AL34" s="33">
        <v>0</v>
      </c>
      <c r="AM34" s="33">
        <v>0</v>
      </c>
      <c r="AN34" s="7">
        <f t="shared" si="4"/>
        <v>0</v>
      </c>
      <c r="AO34" s="33"/>
      <c r="AP34" s="33"/>
      <c r="AQ34" s="7">
        <f t="shared" si="5"/>
        <v>0</v>
      </c>
      <c r="AR34" s="33"/>
      <c r="AS34" s="33"/>
      <c r="AT34" s="7">
        <f t="shared" si="6"/>
        <v>0</v>
      </c>
      <c r="AU34" s="33"/>
      <c r="AV34" s="33"/>
      <c r="AW34" s="7">
        <f t="shared" si="7"/>
        <v>0</v>
      </c>
      <c r="AX34" s="33"/>
      <c r="AY34" s="33"/>
      <c r="AZ34" s="7">
        <f t="shared" si="8"/>
        <v>0</v>
      </c>
      <c r="BA34" s="33"/>
      <c r="BB34" s="33"/>
      <c r="BC34" s="7">
        <f t="shared" si="9"/>
        <v>0</v>
      </c>
      <c r="BD34" s="33"/>
      <c r="BE34" s="33"/>
      <c r="BF34" s="7">
        <f t="shared" si="10"/>
        <v>0</v>
      </c>
      <c r="BG34" s="33"/>
      <c r="BH34" s="33"/>
      <c r="BI34" s="7">
        <f t="shared" si="11"/>
        <v>0</v>
      </c>
      <c r="BJ34" s="33"/>
      <c r="BK34" s="33"/>
      <c r="BL34" s="7">
        <f t="shared" si="12"/>
        <v>0</v>
      </c>
      <c r="BM34" s="33"/>
      <c r="BN34" s="33"/>
      <c r="BO34" s="7">
        <f t="shared" si="13"/>
        <v>0</v>
      </c>
      <c r="BP34" s="33"/>
      <c r="BQ34" s="33"/>
      <c r="BR34" s="7">
        <f t="shared" si="14"/>
        <v>0</v>
      </c>
      <c r="BS34" s="33"/>
      <c r="BT34" s="33"/>
      <c r="BU34" s="7">
        <f t="shared" si="15"/>
        <v>0</v>
      </c>
      <c r="BV34" s="33">
        <v>0</v>
      </c>
      <c r="BW34" s="7">
        <f t="shared" si="16"/>
        <v>0</v>
      </c>
      <c r="BX34" s="7">
        <f t="shared" si="17"/>
        <v>0</v>
      </c>
      <c r="BY34" s="33"/>
      <c r="BZ34" s="7">
        <f t="shared" si="18"/>
        <v>1000000</v>
      </c>
      <c r="CA34" s="7">
        <f t="shared" si="19"/>
        <v>1000000</v>
      </c>
      <c r="CB34" s="15">
        <f t="shared" si="2"/>
        <v>0</v>
      </c>
      <c r="CC34" s="15">
        <f t="shared" si="3"/>
        <v>0</v>
      </c>
      <c r="CD34" s="494" t="s">
        <v>699</v>
      </c>
      <c r="CE34" s="33">
        <v>0</v>
      </c>
      <c r="CF34" s="33">
        <v>0</v>
      </c>
      <c r="CG34" s="33"/>
      <c r="CH34" s="33"/>
      <c r="CI34" s="33"/>
      <c r="CJ34" s="7">
        <f>CI34</f>
        <v>0</v>
      </c>
      <c r="CK34" s="33"/>
      <c r="CL34" s="7">
        <f>CK34</f>
        <v>0</v>
      </c>
      <c r="CM34" s="33"/>
      <c r="CN34" s="33">
        <v>0</v>
      </c>
      <c r="CO34" s="7">
        <f>CM34+CN34</f>
        <v>0</v>
      </c>
      <c r="CP34" s="7">
        <f>CI34+CK34+CM34</f>
        <v>0</v>
      </c>
      <c r="CQ34" s="7">
        <f>CJ34+CL34+CO34</f>
        <v>0</v>
      </c>
      <c r="CR34" s="33"/>
      <c r="CS34" s="33"/>
      <c r="CT34" s="7">
        <f>CR34+CS34</f>
        <v>0</v>
      </c>
      <c r="CU34" s="33"/>
      <c r="CV34" s="33">
        <v>295.58</v>
      </c>
      <c r="CW34" s="7">
        <f>CU34+CV34</f>
        <v>295.58</v>
      </c>
      <c r="CX34" s="33"/>
      <c r="CY34" s="33"/>
      <c r="CZ34" s="7">
        <f t="shared" si="62"/>
        <v>0</v>
      </c>
      <c r="DA34" s="33"/>
      <c r="DB34" s="7">
        <f>DA34</f>
        <v>0</v>
      </c>
      <c r="DC34" s="33"/>
      <c r="DD34" s="7">
        <f>DC34</f>
        <v>0</v>
      </c>
      <c r="DE34" s="33"/>
      <c r="DF34" s="7">
        <f>DE34</f>
        <v>0</v>
      </c>
      <c r="DG34" s="33"/>
      <c r="DH34" s="7">
        <f>DG34</f>
        <v>0</v>
      </c>
      <c r="DI34" s="33"/>
      <c r="DJ34" s="7">
        <f>DI34</f>
        <v>0</v>
      </c>
      <c r="DK34" s="33"/>
      <c r="DL34" s="7">
        <f>DK34</f>
        <v>0</v>
      </c>
      <c r="DM34" s="33">
        <v>175180.32</v>
      </c>
      <c r="DN34" s="14">
        <f>CI34+CK34+CM34+CR34+CU34+CX34+DA34+DC34+DE34+DG34+DI34+DK34</f>
        <v>0</v>
      </c>
      <c r="DO34" s="14">
        <f t="shared" si="63"/>
        <v>295.58</v>
      </c>
      <c r="DP34" s="7"/>
      <c r="DQ34" s="7">
        <f t="shared" si="64"/>
        <v>2331500</v>
      </c>
      <c r="DR34" s="7">
        <f t="shared" si="65"/>
        <v>2331204.42</v>
      </c>
      <c r="DS34" s="15">
        <f t="shared" si="66"/>
        <v>0</v>
      </c>
      <c r="DT34" s="15">
        <f t="shared" si="67"/>
        <v>1.2677675316319966E-4</v>
      </c>
      <c r="DU34" s="33"/>
      <c r="DV34" s="33"/>
      <c r="DW34" s="33"/>
      <c r="DX34" s="36"/>
      <c r="DY34" s="109"/>
    </row>
    <row r="35" spans="1:129" s="1" customFormat="1" ht="17.25" customHeight="1">
      <c r="A35" s="12" t="s">
        <v>564</v>
      </c>
      <c r="B35" s="24" t="s">
        <v>62</v>
      </c>
      <c r="C35" s="8" t="s">
        <v>227</v>
      </c>
      <c r="D35" s="24" t="s">
        <v>13</v>
      </c>
      <c r="E35" s="3">
        <v>255005</v>
      </c>
      <c r="F35" s="406">
        <v>4</v>
      </c>
      <c r="G35" s="406">
        <v>36</v>
      </c>
      <c r="H35" s="406">
        <v>1511</v>
      </c>
      <c r="I35" s="9" t="s">
        <v>13</v>
      </c>
      <c r="J35" s="10" t="s">
        <v>13</v>
      </c>
      <c r="K35" s="3">
        <v>4</v>
      </c>
      <c r="L35" s="3">
        <v>36</v>
      </c>
      <c r="M35" s="45"/>
      <c r="N35" s="3" t="s">
        <v>186</v>
      </c>
      <c r="O35" s="3" t="s">
        <v>189</v>
      </c>
      <c r="P35" s="11" t="s">
        <v>187</v>
      </c>
      <c r="Q35" s="11" t="s">
        <v>187</v>
      </c>
      <c r="R35" s="11" t="s">
        <v>193</v>
      </c>
      <c r="S35" s="3" t="s">
        <v>188</v>
      </c>
      <c r="T35" s="12" t="s">
        <v>110</v>
      </c>
      <c r="U35" s="12" t="s">
        <v>222</v>
      </c>
      <c r="V35" s="12"/>
      <c r="W35" s="12" t="s">
        <v>36</v>
      </c>
      <c r="X35" s="12" t="s">
        <v>13</v>
      </c>
      <c r="Y35" s="25" t="s">
        <v>69</v>
      </c>
      <c r="Z35" s="399">
        <v>19</v>
      </c>
      <c r="AA35" s="10" t="s">
        <v>540</v>
      </c>
      <c r="AB35" s="110" t="s">
        <v>37</v>
      </c>
      <c r="AC35" s="33">
        <v>8000000</v>
      </c>
      <c r="AD35" s="33"/>
      <c r="AE35" s="7">
        <f t="shared" si="68"/>
        <v>8000000</v>
      </c>
      <c r="AF35" s="33">
        <v>1800000</v>
      </c>
      <c r="AG35" s="33">
        <f t="shared" si="60"/>
        <v>9800000</v>
      </c>
      <c r="AH35" s="33"/>
      <c r="AI35" s="7">
        <f t="shared" si="61"/>
        <v>9800000</v>
      </c>
      <c r="AJ35" s="472"/>
      <c r="AK35" s="7">
        <v>100000</v>
      </c>
      <c r="AL35" s="33">
        <v>0</v>
      </c>
      <c r="AM35" s="33">
        <v>0</v>
      </c>
      <c r="AN35" s="7">
        <f t="shared" si="4"/>
        <v>0</v>
      </c>
      <c r="AO35" s="33"/>
      <c r="AP35" s="33"/>
      <c r="AQ35" s="7">
        <f t="shared" si="5"/>
        <v>0</v>
      </c>
      <c r="AR35" s="33"/>
      <c r="AS35" s="33"/>
      <c r="AT35" s="7">
        <f t="shared" si="6"/>
        <v>0</v>
      </c>
      <c r="AU35" s="33"/>
      <c r="AV35" s="33"/>
      <c r="AW35" s="7">
        <f t="shared" si="7"/>
        <v>0</v>
      </c>
      <c r="AX35" s="33"/>
      <c r="AY35" s="33"/>
      <c r="AZ35" s="7">
        <f t="shared" si="8"/>
        <v>0</v>
      </c>
      <c r="BA35" s="33"/>
      <c r="BB35" s="33"/>
      <c r="BC35" s="7">
        <f t="shared" si="9"/>
        <v>0</v>
      </c>
      <c r="BD35" s="33"/>
      <c r="BE35" s="33"/>
      <c r="BF35" s="7">
        <f t="shared" si="10"/>
        <v>0</v>
      </c>
      <c r="BG35" s="33"/>
      <c r="BH35" s="33"/>
      <c r="BI35" s="7">
        <f t="shared" si="11"/>
        <v>0</v>
      </c>
      <c r="BJ35" s="33"/>
      <c r="BK35" s="33"/>
      <c r="BL35" s="7">
        <f t="shared" si="12"/>
        <v>0</v>
      </c>
      <c r="BM35" s="33"/>
      <c r="BN35" s="33"/>
      <c r="BO35" s="7">
        <f t="shared" si="13"/>
        <v>0</v>
      </c>
      <c r="BP35" s="33"/>
      <c r="BQ35" s="33"/>
      <c r="BR35" s="7">
        <f t="shared" si="14"/>
        <v>0</v>
      </c>
      <c r="BS35" s="33"/>
      <c r="BT35" s="33"/>
      <c r="BU35" s="7">
        <f t="shared" si="15"/>
        <v>0</v>
      </c>
      <c r="BV35" s="33">
        <v>0</v>
      </c>
      <c r="BW35" s="7">
        <f t="shared" si="16"/>
        <v>0</v>
      </c>
      <c r="BX35" s="7">
        <f t="shared" si="17"/>
        <v>0</v>
      </c>
      <c r="BY35" s="33"/>
      <c r="BZ35" s="7">
        <f t="shared" si="18"/>
        <v>100000</v>
      </c>
      <c r="CA35" s="7">
        <f t="shared" si="19"/>
        <v>100000</v>
      </c>
      <c r="CB35" s="15">
        <f t="shared" si="2"/>
        <v>0</v>
      </c>
      <c r="CC35" s="15">
        <f t="shared" si="3"/>
        <v>0</v>
      </c>
      <c r="CD35" s="495" t="s">
        <v>708</v>
      </c>
      <c r="CE35" s="33">
        <v>0</v>
      </c>
      <c r="CF35" s="33">
        <v>0</v>
      </c>
      <c r="CG35" s="33"/>
      <c r="CH35" s="33"/>
      <c r="CI35" s="33"/>
      <c r="CJ35" s="7">
        <f>CI35</f>
        <v>0</v>
      </c>
      <c r="CK35" s="33">
        <v>149203.54999999999</v>
      </c>
      <c r="CL35" s="7">
        <f>CK35+20888.5</f>
        <v>170092.05</v>
      </c>
      <c r="CM35" s="33">
        <v>761056.68</v>
      </c>
      <c r="CN35" s="33">
        <v>106547.93</v>
      </c>
      <c r="CO35" s="7">
        <f>CM35+CN35</f>
        <v>867604.6100000001</v>
      </c>
      <c r="CP35" s="7">
        <f>CI35+CK35+CM35</f>
        <v>910260.23</v>
      </c>
      <c r="CQ35" s="7">
        <f>CJ35+CL35+CO35</f>
        <v>1037696.6600000001</v>
      </c>
      <c r="CR35" s="33"/>
      <c r="CS35" s="33"/>
      <c r="CT35" s="7">
        <f>CR35+CS35</f>
        <v>0</v>
      </c>
      <c r="CU35" s="33">
        <v>340800.89</v>
      </c>
      <c r="CV35" s="33">
        <v>47712.12</v>
      </c>
      <c r="CW35" s="7">
        <f>CU35+CV35</f>
        <v>388513.01</v>
      </c>
      <c r="CX35" s="33">
        <v>751461.26</v>
      </c>
      <c r="CY35" s="33"/>
      <c r="CZ35" s="7">
        <f t="shared" si="62"/>
        <v>751461.26</v>
      </c>
      <c r="DA35" s="33"/>
      <c r="DB35" s="7">
        <f>DA35</f>
        <v>0</v>
      </c>
      <c r="DC35" s="33"/>
      <c r="DD35" s="7">
        <f>DC35</f>
        <v>0</v>
      </c>
      <c r="DE35" s="33"/>
      <c r="DF35" s="7">
        <f>DE35</f>
        <v>0</v>
      </c>
      <c r="DG35" s="33"/>
      <c r="DH35" s="7">
        <f>DG35</f>
        <v>0</v>
      </c>
      <c r="DI35" s="33"/>
      <c r="DJ35" s="7">
        <f>DI35</f>
        <v>0</v>
      </c>
      <c r="DK35" s="33"/>
      <c r="DL35" s="7">
        <f>DK35</f>
        <v>0</v>
      </c>
      <c r="DM35" s="33"/>
      <c r="DN35" s="14">
        <f>CI35+CK35+CM35+CR35+CU35+CX35+DA35+DC35+DE35+DG35+DI35+DK35</f>
        <v>2002522.3800000001</v>
      </c>
      <c r="DO35" s="14">
        <f t="shared" si="63"/>
        <v>2177670.9300000002</v>
      </c>
      <c r="DP35" s="7"/>
      <c r="DQ35" s="7">
        <f t="shared" si="64"/>
        <v>7797477.6200000001</v>
      </c>
      <c r="DR35" s="7">
        <f t="shared" si="65"/>
        <v>7622329.0700000003</v>
      </c>
      <c r="DS35" s="15">
        <f t="shared" si="66"/>
        <v>0.20433901836734694</v>
      </c>
      <c r="DT35" s="15">
        <f t="shared" si="67"/>
        <v>0.22221131938775512</v>
      </c>
      <c r="DU35" s="33"/>
      <c r="DV35" s="33"/>
      <c r="DW35" s="33"/>
      <c r="DX35" s="36"/>
      <c r="DY35" s="109"/>
    </row>
    <row r="36" spans="1:129" s="1" customFormat="1" ht="15" customHeight="1">
      <c r="A36" s="12" t="s">
        <v>564</v>
      </c>
      <c r="B36" s="24" t="s">
        <v>62</v>
      </c>
      <c r="C36" s="8" t="s">
        <v>227</v>
      </c>
      <c r="D36" s="24" t="s">
        <v>13</v>
      </c>
      <c r="E36" s="3">
        <v>255005</v>
      </c>
      <c r="F36" s="406">
        <v>4</v>
      </c>
      <c r="G36" s="406">
        <v>36</v>
      </c>
      <c r="H36" s="406">
        <v>1512</v>
      </c>
      <c r="I36" s="9" t="s">
        <v>13</v>
      </c>
      <c r="J36" s="10" t="s">
        <v>13</v>
      </c>
      <c r="K36" s="3">
        <v>4</v>
      </c>
      <c r="L36" s="3">
        <v>36</v>
      </c>
      <c r="M36" s="45"/>
      <c r="N36" s="3" t="s">
        <v>186</v>
      </c>
      <c r="O36" s="3" t="s">
        <v>189</v>
      </c>
      <c r="P36" s="11" t="s">
        <v>187</v>
      </c>
      <c r="Q36" s="11" t="s">
        <v>187</v>
      </c>
      <c r="R36" s="11" t="s">
        <v>193</v>
      </c>
      <c r="S36" s="3" t="s">
        <v>188</v>
      </c>
      <c r="T36" s="12" t="s">
        <v>110</v>
      </c>
      <c r="U36" s="12" t="s">
        <v>222</v>
      </c>
      <c r="V36" s="12"/>
      <c r="W36" s="12" t="s">
        <v>36</v>
      </c>
      <c r="X36" s="12" t="s">
        <v>13</v>
      </c>
      <c r="Y36" s="25" t="s">
        <v>69</v>
      </c>
      <c r="Z36" s="25">
        <v>9</v>
      </c>
      <c r="AA36" s="10" t="s">
        <v>168</v>
      </c>
      <c r="AB36" s="110" t="s">
        <v>37</v>
      </c>
      <c r="AC36" s="33">
        <v>200000</v>
      </c>
      <c r="AD36" s="33"/>
      <c r="AE36" s="7">
        <f t="shared" si="68"/>
        <v>200000</v>
      </c>
      <c r="AF36" s="33"/>
      <c r="AG36" s="33">
        <f t="shared" si="60"/>
        <v>200000</v>
      </c>
      <c r="AH36" s="33"/>
      <c r="AI36" s="7">
        <f>+AG36+AH36</f>
        <v>200000</v>
      </c>
      <c r="AJ36" s="472"/>
      <c r="AK36" s="7">
        <v>2200000</v>
      </c>
      <c r="AL36" s="33">
        <v>0</v>
      </c>
      <c r="AM36" s="33">
        <v>0</v>
      </c>
      <c r="AN36" s="7">
        <f t="shared" si="4"/>
        <v>0</v>
      </c>
      <c r="AO36" s="33"/>
      <c r="AP36" s="33"/>
      <c r="AQ36" s="7">
        <f t="shared" si="5"/>
        <v>0</v>
      </c>
      <c r="AR36" s="33"/>
      <c r="AS36" s="33"/>
      <c r="AT36" s="7">
        <f t="shared" si="6"/>
        <v>0</v>
      </c>
      <c r="AU36" s="33"/>
      <c r="AV36" s="33"/>
      <c r="AW36" s="7">
        <f t="shared" si="7"/>
        <v>0</v>
      </c>
      <c r="AX36" s="33"/>
      <c r="AY36" s="33"/>
      <c r="AZ36" s="7">
        <f t="shared" si="8"/>
        <v>0</v>
      </c>
      <c r="BA36" s="33"/>
      <c r="BB36" s="33"/>
      <c r="BC36" s="7">
        <f t="shared" si="9"/>
        <v>0</v>
      </c>
      <c r="BD36" s="33"/>
      <c r="BE36" s="33"/>
      <c r="BF36" s="7">
        <f t="shared" si="10"/>
        <v>0</v>
      </c>
      <c r="BG36" s="33"/>
      <c r="BH36" s="33"/>
      <c r="BI36" s="7">
        <f t="shared" si="11"/>
        <v>0</v>
      </c>
      <c r="BJ36" s="33"/>
      <c r="BK36" s="33"/>
      <c r="BL36" s="7">
        <f t="shared" si="12"/>
        <v>0</v>
      </c>
      <c r="BM36" s="33"/>
      <c r="BN36" s="33"/>
      <c r="BO36" s="7">
        <f t="shared" si="13"/>
        <v>0</v>
      </c>
      <c r="BP36" s="33"/>
      <c r="BQ36" s="33"/>
      <c r="BR36" s="7">
        <f t="shared" si="14"/>
        <v>0</v>
      </c>
      <c r="BS36" s="33"/>
      <c r="BT36" s="33"/>
      <c r="BU36" s="7">
        <f t="shared" si="15"/>
        <v>0</v>
      </c>
      <c r="BV36" s="33">
        <v>0</v>
      </c>
      <c r="BW36" s="7">
        <f t="shared" si="16"/>
        <v>0</v>
      </c>
      <c r="BX36" s="7">
        <f t="shared" si="17"/>
        <v>0</v>
      </c>
      <c r="BY36" s="33"/>
      <c r="BZ36" s="7">
        <f t="shared" si="18"/>
        <v>2200000</v>
      </c>
      <c r="CA36" s="7">
        <f t="shared" si="19"/>
        <v>2200000</v>
      </c>
      <c r="CB36" s="15">
        <f t="shared" si="2"/>
        <v>0</v>
      </c>
      <c r="CC36" s="15">
        <f t="shared" si="3"/>
        <v>0</v>
      </c>
      <c r="CD36" s="495" t="s">
        <v>709</v>
      </c>
      <c r="CE36" s="33">
        <v>4800000</v>
      </c>
      <c r="CF36" s="33">
        <v>100000</v>
      </c>
      <c r="CG36" s="33"/>
      <c r="CH36" s="33"/>
      <c r="CI36" s="33"/>
      <c r="CJ36" s="7">
        <f>CI36</f>
        <v>0</v>
      </c>
      <c r="CK36" s="33"/>
      <c r="CL36" s="7">
        <f>CK36</f>
        <v>0</v>
      </c>
      <c r="CM36" s="33"/>
      <c r="CN36" s="33">
        <v>0</v>
      </c>
      <c r="CO36" s="7">
        <f>CM36+CN36</f>
        <v>0</v>
      </c>
      <c r="CP36" s="7">
        <f>CI36+CK36+CM36</f>
        <v>0</v>
      </c>
      <c r="CQ36" s="7">
        <f>CJ36+CL36+CO36</f>
        <v>0</v>
      </c>
      <c r="CR36" s="33"/>
      <c r="CS36" s="33"/>
      <c r="CT36" s="7">
        <f>CR36+CS36</f>
        <v>0</v>
      </c>
      <c r="CU36" s="33"/>
      <c r="CV36" s="33"/>
      <c r="CW36" s="7">
        <f>CU36+CV36</f>
        <v>0</v>
      </c>
      <c r="CX36" s="33"/>
      <c r="CY36" s="33"/>
      <c r="CZ36" s="7">
        <f t="shared" si="62"/>
        <v>0</v>
      </c>
      <c r="DA36" s="33"/>
      <c r="DB36" s="7">
        <f>DA36</f>
        <v>0</v>
      </c>
      <c r="DC36" s="33"/>
      <c r="DD36" s="7">
        <f>DC36</f>
        <v>0</v>
      </c>
      <c r="DE36" s="33"/>
      <c r="DF36" s="7">
        <f>DE36</f>
        <v>0</v>
      </c>
      <c r="DG36" s="33"/>
      <c r="DH36" s="7">
        <f>DG36</f>
        <v>0</v>
      </c>
      <c r="DI36" s="33"/>
      <c r="DJ36" s="7">
        <f>DI36</f>
        <v>0</v>
      </c>
      <c r="DK36" s="33"/>
      <c r="DL36" s="7">
        <f>DK36</f>
        <v>0</v>
      </c>
      <c r="DM36" s="33"/>
      <c r="DN36" s="14">
        <f>CI36+CK36+CM36+CR36+CU36+CX36+DA36+DC36+DE36+DG36+DI36+DK36</f>
        <v>0</v>
      </c>
      <c r="DO36" s="14">
        <f t="shared" si="63"/>
        <v>0</v>
      </c>
      <c r="DP36" s="7"/>
      <c r="DQ36" s="7">
        <f t="shared" si="64"/>
        <v>200000</v>
      </c>
      <c r="DR36" s="7">
        <f t="shared" si="65"/>
        <v>200000</v>
      </c>
      <c r="DS36" s="15">
        <f>DN36/AG36</f>
        <v>0</v>
      </c>
      <c r="DT36" s="15">
        <f>DO36/AG36</f>
        <v>0</v>
      </c>
      <c r="DU36" s="33">
        <v>6000000</v>
      </c>
      <c r="DV36" s="33"/>
      <c r="DW36" s="33"/>
      <c r="DX36" s="36"/>
      <c r="DY36" s="109"/>
    </row>
    <row r="37" spans="1:129" s="1" customFormat="1" ht="15" customHeight="1">
      <c r="A37" s="12" t="s">
        <v>564</v>
      </c>
      <c r="B37" s="24"/>
      <c r="C37" s="8" t="s">
        <v>227</v>
      </c>
      <c r="D37" s="24"/>
      <c r="E37" s="3">
        <v>255005</v>
      </c>
      <c r="F37" s="406">
        <v>4</v>
      </c>
      <c r="G37" s="406">
        <v>36</v>
      </c>
      <c r="H37" s="406">
        <v>1513</v>
      </c>
      <c r="I37" s="9" t="s">
        <v>13</v>
      </c>
      <c r="J37" s="10" t="s">
        <v>13</v>
      </c>
      <c r="K37" s="3">
        <v>4</v>
      </c>
      <c r="L37" s="3">
        <v>36</v>
      </c>
      <c r="M37" s="45"/>
      <c r="N37" s="3" t="s">
        <v>186</v>
      </c>
      <c r="O37" s="3" t="s">
        <v>189</v>
      </c>
      <c r="P37" s="11" t="s">
        <v>187</v>
      </c>
      <c r="Q37" s="11" t="s">
        <v>187</v>
      </c>
      <c r="R37" s="11" t="s">
        <v>193</v>
      </c>
      <c r="S37" s="3" t="s">
        <v>188</v>
      </c>
      <c r="T37" s="12" t="s">
        <v>110</v>
      </c>
      <c r="U37" s="12" t="s">
        <v>222</v>
      </c>
      <c r="V37" s="12"/>
      <c r="W37" s="12" t="s">
        <v>36</v>
      </c>
      <c r="X37" s="12" t="s">
        <v>13</v>
      </c>
      <c r="Y37" s="25" t="s">
        <v>69</v>
      </c>
      <c r="Z37" s="25"/>
      <c r="AA37" s="10" t="s">
        <v>539</v>
      </c>
      <c r="AB37" s="110" t="s">
        <v>37</v>
      </c>
      <c r="AC37" s="33">
        <v>0</v>
      </c>
      <c r="AD37" s="33"/>
      <c r="AE37" s="7">
        <f t="shared" si="68"/>
        <v>0</v>
      </c>
      <c r="AF37" s="33"/>
      <c r="AG37" s="33">
        <f t="shared" si="60"/>
        <v>0</v>
      </c>
      <c r="AH37" s="33"/>
      <c r="AI37" s="7">
        <f>+AG37+AH37</f>
        <v>0</v>
      </c>
      <c r="AJ37" s="472"/>
      <c r="AK37" s="7">
        <v>300000</v>
      </c>
      <c r="AL37" s="33">
        <v>0</v>
      </c>
      <c r="AM37" s="33">
        <v>0</v>
      </c>
      <c r="AN37" s="7">
        <f t="shared" si="4"/>
        <v>0</v>
      </c>
      <c r="AO37" s="33"/>
      <c r="AP37" s="33"/>
      <c r="AQ37" s="7">
        <f t="shared" si="5"/>
        <v>0</v>
      </c>
      <c r="AR37" s="33"/>
      <c r="AS37" s="33"/>
      <c r="AT37" s="7">
        <f t="shared" si="6"/>
        <v>0</v>
      </c>
      <c r="AU37" s="33"/>
      <c r="AV37" s="33"/>
      <c r="AW37" s="7">
        <f t="shared" si="7"/>
        <v>0</v>
      </c>
      <c r="AX37" s="33"/>
      <c r="AY37" s="33"/>
      <c r="AZ37" s="7">
        <f t="shared" si="8"/>
        <v>0</v>
      </c>
      <c r="BA37" s="33"/>
      <c r="BB37" s="33"/>
      <c r="BC37" s="7">
        <f t="shared" si="9"/>
        <v>0</v>
      </c>
      <c r="BD37" s="33"/>
      <c r="BE37" s="33"/>
      <c r="BF37" s="7">
        <f t="shared" si="10"/>
        <v>0</v>
      </c>
      <c r="BG37" s="33"/>
      <c r="BH37" s="33"/>
      <c r="BI37" s="7">
        <f t="shared" si="11"/>
        <v>0</v>
      </c>
      <c r="BJ37" s="33"/>
      <c r="BK37" s="33"/>
      <c r="BL37" s="7">
        <f t="shared" si="12"/>
        <v>0</v>
      </c>
      <c r="BM37" s="33"/>
      <c r="BN37" s="33"/>
      <c r="BO37" s="7">
        <f t="shared" si="13"/>
        <v>0</v>
      </c>
      <c r="BP37" s="33"/>
      <c r="BQ37" s="33"/>
      <c r="BR37" s="7">
        <f t="shared" si="14"/>
        <v>0</v>
      </c>
      <c r="BS37" s="33"/>
      <c r="BT37" s="33"/>
      <c r="BU37" s="7">
        <f t="shared" si="15"/>
        <v>0</v>
      </c>
      <c r="BV37" s="33">
        <v>0</v>
      </c>
      <c r="BW37" s="7">
        <f t="shared" si="16"/>
        <v>0</v>
      </c>
      <c r="BX37" s="7">
        <f t="shared" si="17"/>
        <v>0</v>
      </c>
      <c r="BY37" s="33"/>
      <c r="BZ37" s="7">
        <f t="shared" si="18"/>
        <v>300000</v>
      </c>
      <c r="CA37" s="7">
        <f t="shared" si="19"/>
        <v>300000</v>
      </c>
      <c r="CB37" s="15">
        <f t="shared" si="2"/>
        <v>0</v>
      </c>
      <c r="CC37" s="15">
        <f t="shared" si="3"/>
        <v>0</v>
      </c>
      <c r="CD37" s="495" t="s">
        <v>710</v>
      </c>
      <c r="CE37" s="33">
        <v>300000</v>
      </c>
      <c r="CF37" s="33">
        <v>500000</v>
      </c>
      <c r="CG37" s="33"/>
      <c r="CH37" s="33"/>
      <c r="CI37" s="33"/>
      <c r="CJ37" s="7"/>
      <c r="CK37" s="33"/>
      <c r="CL37" s="7"/>
      <c r="CM37" s="33"/>
      <c r="CN37" s="33"/>
      <c r="CO37" s="7"/>
      <c r="CP37" s="7"/>
      <c r="CQ37" s="7"/>
      <c r="CR37" s="33"/>
      <c r="CS37" s="33"/>
      <c r="CT37" s="7"/>
      <c r="CU37" s="33"/>
      <c r="CV37" s="33"/>
      <c r="CW37" s="7"/>
      <c r="CX37" s="33"/>
      <c r="CY37" s="33"/>
      <c r="CZ37" s="7"/>
      <c r="DA37" s="33"/>
      <c r="DB37" s="7"/>
      <c r="DC37" s="33"/>
      <c r="DD37" s="7"/>
      <c r="DE37" s="33"/>
      <c r="DF37" s="7"/>
      <c r="DG37" s="33"/>
      <c r="DH37" s="7"/>
      <c r="DI37" s="33"/>
      <c r="DJ37" s="7"/>
      <c r="DK37" s="33"/>
      <c r="DL37" s="7"/>
      <c r="DM37" s="33"/>
      <c r="DN37" s="14"/>
      <c r="DO37" s="14"/>
      <c r="DP37" s="7"/>
      <c r="DQ37" s="7"/>
      <c r="DR37" s="7"/>
      <c r="DS37" s="15"/>
      <c r="DT37" s="15"/>
      <c r="DU37" s="33"/>
      <c r="DV37" s="33"/>
      <c r="DW37" s="33"/>
      <c r="DX37" s="36"/>
      <c r="DY37" s="109"/>
    </row>
    <row r="38" spans="1:129" s="1" customFormat="1" ht="31.5" customHeight="1">
      <c r="A38" s="12" t="s">
        <v>564</v>
      </c>
      <c r="B38" s="24" t="s">
        <v>62</v>
      </c>
      <c r="C38" s="8" t="s">
        <v>227</v>
      </c>
      <c r="D38" s="24" t="s">
        <v>13</v>
      </c>
      <c r="E38" s="3">
        <v>255005</v>
      </c>
      <c r="F38" s="406">
        <v>4</v>
      </c>
      <c r="G38" s="406">
        <v>36</v>
      </c>
      <c r="H38" s="406">
        <v>1514</v>
      </c>
      <c r="I38" s="9" t="s">
        <v>13</v>
      </c>
      <c r="J38" s="10" t="s">
        <v>13</v>
      </c>
      <c r="K38" s="3">
        <v>4</v>
      </c>
      <c r="L38" s="3">
        <v>36</v>
      </c>
      <c r="M38" s="45"/>
      <c r="N38" s="3" t="s">
        <v>186</v>
      </c>
      <c r="O38" s="3" t="s">
        <v>189</v>
      </c>
      <c r="P38" s="11" t="s">
        <v>187</v>
      </c>
      <c r="Q38" s="11" t="s">
        <v>187</v>
      </c>
      <c r="R38" s="11" t="s">
        <v>193</v>
      </c>
      <c r="S38" s="3" t="s">
        <v>188</v>
      </c>
      <c r="T38" s="12" t="s">
        <v>110</v>
      </c>
      <c r="U38" s="12" t="s">
        <v>222</v>
      </c>
      <c r="V38" s="12"/>
      <c r="W38" s="12" t="s">
        <v>36</v>
      </c>
      <c r="X38" s="12" t="s">
        <v>13</v>
      </c>
      <c r="Y38" s="25" t="s">
        <v>69</v>
      </c>
      <c r="Z38" s="399" t="s">
        <v>97</v>
      </c>
      <c r="AA38" s="258" t="s">
        <v>174</v>
      </c>
      <c r="AB38" s="110" t="s">
        <v>37</v>
      </c>
      <c r="AC38" s="33">
        <v>3500000</v>
      </c>
      <c r="AD38" s="33"/>
      <c r="AE38" s="7">
        <f t="shared" si="68"/>
        <v>3500000</v>
      </c>
      <c r="AF38" s="33"/>
      <c r="AG38" s="33">
        <f t="shared" si="60"/>
        <v>3500000</v>
      </c>
      <c r="AH38" s="33"/>
      <c r="AI38" s="7">
        <f t="shared" si="61"/>
        <v>3500000</v>
      </c>
      <c r="AJ38" s="472"/>
      <c r="AK38" s="7">
        <v>15000000</v>
      </c>
      <c r="AL38" s="33">
        <v>92322.33</v>
      </c>
      <c r="AM38" s="33">
        <v>12925.13</v>
      </c>
      <c r="AN38" s="7">
        <f t="shared" si="4"/>
        <v>105247.46</v>
      </c>
      <c r="AO38" s="33"/>
      <c r="AP38" s="33"/>
      <c r="AQ38" s="7">
        <f t="shared" si="5"/>
        <v>0</v>
      </c>
      <c r="AR38" s="33"/>
      <c r="AS38" s="33"/>
      <c r="AT38" s="7">
        <f t="shared" si="6"/>
        <v>0</v>
      </c>
      <c r="AU38" s="33"/>
      <c r="AV38" s="33"/>
      <c r="AW38" s="7">
        <f t="shared" si="7"/>
        <v>0</v>
      </c>
      <c r="AX38" s="33"/>
      <c r="AY38" s="33"/>
      <c r="AZ38" s="7">
        <f t="shared" si="8"/>
        <v>0</v>
      </c>
      <c r="BA38" s="33"/>
      <c r="BB38" s="33"/>
      <c r="BC38" s="7">
        <f t="shared" si="9"/>
        <v>0</v>
      </c>
      <c r="BD38" s="33"/>
      <c r="BE38" s="33"/>
      <c r="BF38" s="7">
        <f t="shared" si="10"/>
        <v>0</v>
      </c>
      <c r="BG38" s="33"/>
      <c r="BH38" s="33"/>
      <c r="BI38" s="7">
        <f t="shared" si="11"/>
        <v>0</v>
      </c>
      <c r="BJ38" s="33"/>
      <c r="BK38" s="33"/>
      <c r="BL38" s="7">
        <f t="shared" si="12"/>
        <v>0</v>
      </c>
      <c r="BM38" s="33"/>
      <c r="BN38" s="33"/>
      <c r="BO38" s="7">
        <f t="shared" si="13"/>
        <v>0</v>
      </c>
      <c r="BP38" s="33"/>
      <c r="BQ38" s="33"/>
      <c r="BR38" s="7">
        <f t="shared" si="14"/>
        <v>0</v>
      </c>
      <c r="BS38" s="33"/>
      <c r="BT38" s="33"/>
      <c r="BU38" s="7">
        <f t="shared" si="15"/>
        <v>0</v>
      </c>
      <c r="BV38" s="33">
        <v>0</v>
      </c>
      <c r="BW38" s="7">
        <f t="shared" si="16"/>
        <v>92322.33</v>
      </c>
      <c r="BX38" s="7">
        <f t="shared" si="17"/>
        <v>105247.46</v>
      </c>
      <c r="BY38" s="33"/>
      <c r="BZ38" s="7">
        <f t="shared" si="18"/>
        <v>14907677.67</v>
      </c>
      <c r="CA38" s="7">
        <f t="shared" si="19"/>
        <v>14894752.539999999</v>
      </c>
      <c r="CB38" s="15">
        <f t="shared" si="2"/>
        <v>6.1548219999999999E-3</v>
      </c>
      <c r="CC38" s="15">
        <f t="shared" si="3"/>
        <v>7.016497333333334E-3</v>
      </c>
      <c r="CD38" s="495" t="s">
        <v>711</v>
      </c>
      <c r="CE38" s="33">
        <f>34000000-15000000</f>
        <v>19000000</v>
      </c>
      <c r="CF38" s="33">
        <f>61000000+15000000</f>
        <v>76000000</v>
      </c>
      <c r="CG38" s="323"/>
      <c r="CH38" s="323"/>
      <c r="CI38" s="33"/>
      <c r="CJ38" s="7">
        <f>CI38</f>
        <v>0</v>
      </c>
      <c r="CK38" s="33">
        <v>4737.54</v>
      </c>
      <c r="CL38" s="7">
        <f>CK38</f>
        <v>4737.54</v>
      </c>
      <c r="CM38" s="33">
        <v>-4737.54</v>
      </c>
      <c r="CN38" s="33">
        <v>0</v>
      </c>
      <c r="CO38" s="7">
        <f>CM38+CN38</f>
        <v>-4737.54</v>
      </c>
      <c r="CP38" s="7">
        <f>CI38+CK38+CM38</f>
        <v>0</v>
      </c>
      <c r="CQ38" s="7">
        <f>CJ38+CL38+CO38</f>
        <v>0</v>
      </c>
      <c r="CR38" s="33"/>
      <c r="CS38" s="33"/>
      <c r="CT38" s="7">
        <f>CR38+CS38</f>
        <v>0</v>
      </c>
      <c r="CU38" s="33"/>
      <c r="CV38" s="33"/>
      <c r="CW38" s="7">
        <f>CU38+CV38</f>
        <v>0</v>
      </c>
      <c r="CX38" s="33">
        <v>9997.5</v>
      </c>
      <c r="CY38" s="33">
        <v>1399.65</v>
      </c>
      <c r="CZ38" s="7">
        <f>CX38+CY38</f>
        <v>11397.15</v>
      </c>
      <c r="DA38" s="33"/>
      <c r="DB38" s="7">
        <f>DA38</f>
        <v>0</v>
      </c>
      <c r="DC38" s="33"/>
      <c r="DD38" s="7">
        <f>DC38</f>
        <v>0</v>
      </c>
      <c r="DE38" s="33"/>
      <c r="DF38" s="7">
        <f>DE38</f>
        <v>0</v>
      </c>
      <c r="DG38" s="33"/>
      <c r="DH38" s="7">
        <f>DG38</f>
        <v>0</v>
      </c>
      <c r="DI38" s="33"/>
      <c r="DJ38" s="7">
        <f>DI38</f>
        <v>0</v>
      </c>
      <c r="DK38" s="33"/>
      <c r="DL38" s="7">
        <f>DK38</f>
        <v>0</v>
      </c>
      <c r="DM38" s="33"/>
      <c r="DN38" s="14">
        <f>CI38+CK38+CM38+CR38+CU38+CX38+DA38+DC38+DE38+DG38+DI38+DK38</f>
        <v>9997.5</v>
      </c>
      <c r="DO38" s="14">
        <f>CJ38+CL38+CO38+CT38+CW38+CZ38</f>
        <v>11397.15</v>
      </c>
      <c r="DP38" s="7"/>
      <c r="DQ38" s="7">
        <f>AG38-DN38</f>
        <v>3490002.5</v>
      </c>
      <c r="DR38" s="7">
        <f>AG38-DO38</f>
        <v>3488602.85</v>
      </c>
      <c r="DS38" s="15">
        <f t="shared" si="66"/>
        <v>2.8564285714285714E-3</v>
      </c>
      <c r="DT38" s="15">
        <f t="shared" si="67"/>
        <v>3.2563285714285713E-3</v>
      </c>
      <c r="DU38" s="33">
        <v>73047792</v>
      </c>
      <c r="DV38" s="33"/>
      <c r="DW38" s="33"/>
      <c r="DX38" s="36"/>
      <c r="DY38" s="317">
        <f>+AI38+AK38+CE38+CF38</f>
        <v>113500000</v>
      </c>
    </row>
    <row r="39" spans="1:129" s="1" customFormat="1" ht="36.75" customHeight="1">
      <c r="A39" s="12" t="s">
        <v>564</v>
      </c>
      <c r="B39" s="24" t="s">
        <v>62</v>
      </c>
      <c r="C39" s="8" t="s">
        <v>227</v>
      </c>
      <c r="D39" s="24" t="s">
        <v>13</v>
      </c>
      <c r="E39" s="3">
        <v>255005</v>
      </c>
      <c r="F39" s="406">
        <v>4</v>
      </c>
      <c r="G39" s="406">
        <v>36</v>
      </c>
      <c r="H39" s="406">
        <v>1515</v>
      </c>
      <c r="I39" s="9" t="s">
        <v>13</v>
      </c>
      <c r="J39" s="10" t="s">
        <v>13</v>
      </c>
      <c r="K39" s="3">
        <v>4</v>
      </c>
      <c r="L39" s="3">
        <v>36</v>
      </c>
      <c r="M39" s="45"/>
      <c r="N39" s="3" t="s">
        <v>186</v>
      </c>
      <c r="O39" s="3" t="s">
        <v>189</v>
      </c>
      <c r="P39" s="11" t="s">
        <v>187</v>
      </c>
      <c r="Q39" s="11" t="s">
        <v>187</v>
      </c>
      <c r="R39" s="11" t="s">
        <v>193</v>
      </c>
      <c r="S39" s="3" t="s">
        <v>188</v>
      </c>
      <c r="T39" s="12" t="s">
        <v>110</v>
      </c>
      <c r="U39" s="12" t="s">
        <v>222</v>
      </c>
      <c r="V39" s="12"/>
      <c r="W39" s="12" t="s">
        <v>36</v>
      </c>
      <c r="X39" s="12" t="s">
        <v>13</v>
      </c>
      <c r="Y39" s="25" t="s">
        <v>69</v>
      </c>
      <c r="Z39" s="399" t="s">
        <v>96</v>
      </c>
      <c r="AA39" s="258" t="s">
        <v>175</v>
      </c>
      <c r="AB39" s="110" t="s">
        <v>37</v>
      </c>
      <c r="AC39" s="33">
        <v>3500000</v>
      </c>
      <c r="AD39" s="33"/>
      <c r="AE39" s="7">
        <f t="shared" si="68"/>
        <v>3500000</v>
      </c>
      <c r="AF39" s="33"/>
      <c r="AG39" s="33">
        <f t="shared" si="60"/>
        <v>3500000</v>
      </c>
      <c r="AH39" s="33">
        <v>-2500000</v>
      </c>
      <c r="AI39" s="7">
        <f t="shared" si="61"/>
        <v>1000000</v>
      </c>
      <c r="AJ39" s="472"/>
      <c r="AK39" s="7">
        <v>10000000</v>
      </c>
      <c r="AL39" s="33">
        <v>0</v>
      </c>
      <c r="AM39" s="33">
        <v>0</v>
      </c>
      <c r="AN39" s="7">
        <f t="shared" si="4"/>
        <v>0</v>
      </c>
      <c r="AO39" s="33"/>
      <c r="AP39" s="33"/>
      <c r="AQ39" s="7">
        <f t="shared" si="5"/>
        <v>0</v>
      </c>
      <c r="AR39" s="33"/>
      <c r="AS39" s="33"/>
      <c r="AT39" s="7">
        <f t="shared" si="6"/>
        <v>0</v>
      </c>
      <c r="AU39" s="33"/>
      <c r="AV39" s="33"/>
      <c r="AW39" s="7">
        <f t="shared" si="7"/>
        <v>0</v>
      </c>
      <c r="AX39" s="33"/>
      <c r="AY39" s="33"/>
      <c r="AZ39" s="7">
        <f t="shared" si="8"/>
        <v>0</v>
      </c>
      <c r="BA39" s="33"/>
      <c r="BB39" s="33"/>
      <c r="BC39" s="7">
        <f t="shared" si="9"/>
        <v>0</v>
      </c>
      <c r="BD39" s="33"/>
      <c r="BE39" s="33"/>
      <c r="BF39" s="7">
        <f t="shared" si="10"/>
        <v>0</v>
      </c>
      <c r="BG39" s="33"/>
      <c r="BH39" s="33"/>
      <c r="BI39" s="7">
        <f t="shared" si="11"/>
        <v>0</v>
      </c>
      <c r="BJ39" s="33"/>
      <c r="BK39" s="33"/>
      <c r="BL39" s="7">
        <f t="shared" si="12"/>
        <v>0</v>
      </c>
      <c r="BM39" s="33"/>
      <c r="BN39" s="33"/>
      <c r="BO39" s="7">
        <f t="shared" si="13"/>
        <v>0</v>
      </c>
      <c r="BP39" s="33"/>
      <c r="BQ39" s="33"/>
      <c r="BR39" s="7">
        <f t="shared" si="14"/>
        <v>0</v>
      </c>
      <c r="BS39" s="33"/>
      <c r="BT39" s="33"/>
      <c r="BU39" s="7">
        <f t="shared" si="15"/>
        <v>0</v>
      </c>
      <c r="BV39" s="33">
        <v>0</v>
      </c>
      <c r="BW39" s="7">
        <f t="shared" si="16"/>
        <v>0</v>
      </c>
      <c r="BX39" s="7">
        <f t="shared" si="17"/>
        <v>0</v>
      </c>
      <c r="BY39" s="33"/>
      <c r="BZ39" s="7">
        <f t="shared" si="18"/>
        <v>10000000</v>
      </c>
      <c r="CA39" s="7">
        <f t="shared" si="19"/>
        <v>10000000</v>
      </c>
      <c r="CB39" s="15">
        <f t="shared" si="2"/>
        <v>0</v>
      </c>
      <c r="CC39" s="15">
        <f t="shared" si="3"/>
        <v>0</v>
      </c>
      <c r="CD39" s="502" t="s">
        <v>712</v>
      </c>
      <c r="CE39" s="33">
        <f>20000000-10000000</f>
        <v>10000000</v>
      </c>
      <c r="CF39" s="33">
        <f>34000000+2464685</f>
        <v>36464685</v>
      </c>
      <c r="CG39" s="323"/>
      <c r="CH39" s="323"/>
      <c r="CI39" s="33"/>
      <c r="CJ39" s="7">
        <f>CI39</f>
        <v>0</v>
      </c>
      <c r="CK39" s="33"/>
      <c r="CL39" s="7">
        <f>CK39</f>
        <v>0</v>
      </c>
      <c r="CM39" s="33"/>
      <c r="CN39" s="33">
        <v>0</v>
      </c>
      <c r="CO39" s="7">
        <f>CM39+CN39</f>
        <v>0</v>
      </c>
      <c r="CP39" s="7">
        <f>CI39+CK39+CM39</f>
        <v>0</v>
      </c>
      <c r="CQ39" s="7">
        <f>CJ39+CL39+CO39</f>
        <v>0</v>
      </c>
      <c r="CR39" s="33">
        <v>-3707.64</v>
      </c>
      <c r="CS39" s="33"/>
      <c r="CT39" s="7">
        <f>CR39+CS39</f>
        <v>-3707.64</v>
      </c>
      <c r="CU39" s="33">
        <v>3707.64</v>
      </c>
      <c r="CV39" s="33"/>
      <c r="CW39" s="7">
        <f>CU39+CV39</f>
        <v>3707.64</v>
      </c>
      <c r="CX39" s="33">
        <v>2574.75</v>
      </c>
      <c r="CY39" s="33">
        <v>360.46</v>
      </c>
      <c r="CZ39" s="7">
        <f>CX39+CY39</f>
        <v>2935.21</v>
      </c>
      <c r="DA39" s="33"/>
      <c r="DB39" s="7">
        <f>DA39</f>
        <v>0</v>
      </c>
      <c r="DC39" s="33"/>
      <c r="DD39" s="7">
        <f>DC39</f>
        <v>0</v>
      </c>
      <c r="DE39" s="33"/>
      <c r="DF39" s="7">
        <f>DE39</f>
        <v>0</v>
      </c>
      <c r="DG39" s="33"/>
      <c r="DH39" s="7">
        <f>DG39</f>
        <v>0</v>
      </c>
      <c r="DI39" s="33"/>
      <c r="DJ39" s="7">
        <f>DI39</f>
        <v>0</v>
      </c>
      <c r="DK39" s="33"/>
      <c r="DL39" s="7">
        <f>DK39</f>
        <v>0</v>
      </c>
      <c r="DM39" s="33"/>
      <c r="DN39" s="14">
        <f>CI39+CK39+CM39+CR39+CU39+CX39+DA39+DC39+DE39+DG39+DI39+DK39</f>
        <v>2574.75</v>
      </c>
      <c r="DO39" s="14">
        <f>CJ39+CL39+CO39+CT39+CW39+CZ39</f>
        <v>2935.21</v>
      </c>
      <c r="DP39" s="7"/>
      <c r="DQ39" s="7">
        <f>AG39-DN39</f>
        <v>3497425.25</v>
      </c>
      <c r="DR39" s="7">
        <f>AG39-DO39</f>
        <v>3497064.79</v>
      </c>
      <c r="DS39" s="15">
        <f t="shared" si="66"/>
        <v>7.3564285714285713E-4</v>
      </c>
      <c r="DT39" s="15">
        <f t="shared" si="67"/>
        <v>8.3863142857142862E-4</v>
      </c>
      <c r="DU39" s="33">
        <v>46000000</v>
      </c>
      <c r="DV39" s="33"/>
      <c r="DW39" s="33"/>
      <c r="DX39" s="36"/>
      <c r="DY39" s="109"/>
    </row>
    <row r="40" spans="1:129" s="1" customFormat="1" ht="30.75">
      <c r="A40" s="12" t="s">
        <v>564</v>
      </c>
      <c r="B40" s="24" t="s">
        <v>62</v>
      </c>
      <c r="C40" s="8" t="s">
        <v>227</v>
      </c>
      <c r="D40" s="24" t="s">
        <v>13</v>
      </c>
      <c r="E40" s="3">
        <v>255005</v>
      </c>
      <c r="F40" s="406">
        <v>4</v>
      </c>
      <c r="G40" s="406">
        <v>36</v>
      </c>
      <c r="H40" s="406">
        <v>1516</v>
      </c>
      <c r="I40" s="9" t="s">
        <v>13</v>
      </c>
      <c r="J40" s="10" t="s">
        <v>13</v>
      </c>
      <c r="K40" s="3">
        <v>4</v>
      </c>
      <c r="L40" s="3">
        <v>36</v>
      </c>
      <c r="M40" s="45"/>
      <c r="N40" s="3" t="s">
        <v>186</v>
      </c>
      <c r="O40" s="3" t="s">
        <v>189</v>
      </c>
      <c r="P40" s="11" t="s">
        <v>187</v>
      </c>
      <c r="Q40" s="11" t="s">
        <v>187</v>
      </c>
      <c r="R40" s="11" t="s">
        <v>193</v>
      </c>
      <c r="S40" s="3" t="s">
        <v>188</v>
      </c>
      <c r="T40" s="12" t="s">
        <v>110</v>
      </c>
      <c r="U40" s="12" t="s">
        <v>222</v>
      </c>
      <c r="V40" s="12"/>
      <c r="W40" s="12" t="s">
        <v>36</v>
      </c>
      <c r="X40" s="12" t="s">
        <v>13</v>
      </c>
      <c r="Y40" s="25" t="s">
        <v>69</v>
      </c>
      <c r="Z40" s="399">
        <v>10</v>
      </c>
      <c r="AA40" s="10" t="s">
        <v>170</v>
      </c>
      <c r="AB40" s="110" t="s">
        <v>37</v>
      </c>
      <c r="AC40" s="33">
        <v>5524440</v>
      </c>
      <c r="AD40" s="33"/>
      <c r="AE40" s="7">
        <f t="shared" ref="AE40:AE45" si="69">AC40+AD40</f>
        <v>5524440</v>
      </c>
      <c r="AF40" s="33">
        <v>-1300000</v>
      </c>
      <c r="AG40" s="33">
        <f t="shared" ref="AG40:AG45" si="70">AE40+AF40</f>
        <v>4224440</v>
      </c>
      <c r="AH40" s="33">
        <v>-2000000</v>
      </c>
      <c r="AI40" s="7">
        <f t="shared" si="61"/>
        <v>2224440</v>
      </c>
      <c r="AJ40" s="472"/>
      <c r="AK40" s="7">
        <v>7775000</v>
      </c>
      <c r="AL40" s="33">
        <v>0</v>
      </c>
      <c r="AM40" s="33">
        <v>0</v>
      </c>
      <c r="AN40" s="7">
        <f t="shared" si="4"/>
        <v>0</v>
      </c>
      <c r="AO40" s="33"/>
      <c r="AP40" s="33"/>
      <c r="AQ40" s="7">
        <f t="shared" si="5"/>
        <v>0</v>
      </c>
      <c r="AR40" s="33"/>
      <c r="AS40" s="33"/>
      <c r="AT40" s="7">
        <f t="shared" si="6"/>
        <v>0</v>
      </c>
      <c r="AU40" s="33"/>
      <c r="AV40" s="33"/>
      <c r="AW40" s="7">
        <f t="shared" si="7"/>
        <v>0</v>
      </c>
      <c r="AX40" s="33"/>
      <c r="AY40" s="33"/>
      <c r="AZ40" s="7">
        <f t="shared" si="8"/>
        <v>0</v>
      </c>
      <c r="BA40" s="33"/>
      <c r="BB40" s="33"/>
      <c r="BC40" s="7">
        <f t="shared" si="9"/>
        <v>0</v>
      </c>
      <c r="BD40" s="33"/>
      <c r="BE40" s="33"/>
      <c r="BF40" s="7">
        <f t="shared" si="10"/>
        <v>0</v>
      </c>
      <c r="BG40" s="33"/>
      <c r="BH40" s="33"/>
      <c r="BI40" s="7">
        <f t="shared" si="11"/>
        <v>0</v>
      </c>
      <c r="BJ40" s="33"/>
      <c r="BK40" s="33"/>
      <c r="BL40" s="7">
        <f t="shared" si="12"/>
        <v>0</v>
      </c>
      <c r="BM40" s="33"/>
      <c r="BN40" s="33"/>
      <c r="BO40" s="7">
        <f t="shared" si="13"/>
        <v>0</v>
      </c>
      <c r="BP40" s="33"/>
      <c r="BQ40" s="33"/>
      <c r="BR40" s="7">
        <f t="shared" si="14"/>
        <v>0</v>
      </c>
      <c r="BS40" s="33"/>
      <c r="BT40" s="33"/>
      <c r="BU40" s="7">
        <f t="shared" si="15"/>
        <v>0</v>
      </c>
      <c r="BV40" s="33">
        <v>0</v>
      </c>
      <c r="BW40" s="7">
        <f t="shared" si="16"/>
        <v>0</v>
      </c>
      <c r="BX40" s="7">
        <f t="shared" si="17"/>
        <v>0</v>
      </c>
      <c r="BY40" s="33"/>
      <c r="BZ40" s="7">
        <f t="shared" si="18"/>
        <v>7775000</v>
      </c>
      <c r="CA40" s="7">
        <f t="shared" si="19"/>
        <v>7775000</v>
      </c>
      <c r="CB40" s="15">
        <f t="shared" si="2"/>
        <v>0</v>
      </c>
      <c r="CC40" s="15">
        <f t="shared" si="3"/>
        <v>0</v>
      </c>
      <c r="CD40" s="495" t="s">
        <v>713</v>
      </c>
      <c r="CE40" s="33">
        <f>29850000-4500000</f>
        <v>25350000</v>
      </c>
      <c r="CF40" s="33">
        <v>20100000</v>
      </c>
      <c r="CG40" s="323"/>
      <c r="CH40" s="323"/>
      <c r="CI40" s="33"/>
      <c r="CJ40" s="7">
        <f t="shared" ref="CJ40:CJ45" si="71">CI40</f>
        <v>0</v>
      </c>
      <c r="CK40" s="33"/>
      <c r="CL40" s="7">
        <f t="shared" ref="CL40:CL45" si="72">CK40</f>
        <v>0</v>
      </c>
      <c r="CM40" s="33"/>
      <c r="CN40" s="33">
        <v>0</v>
      </c>
      <c r="CO40" s="7">
        <f t="shared" ref="CO40:CO45" si="73">CM40+CN40</f>
        <v>0</v>
      </c>
      <c r="CP40" s="7">
        <f t="shared" ref="CP40:CP45" si="74">CI40+CK40+CM40</f>
        <v>0</v>
      </c>
      <c r="CQ40" s="7">
        <f t="shared" ref="CQ40:CQ45" si="75">CJ40+CL40+CO40</f>
        <v>0</v>
      </c>
      <c r="CR40" s="33">
        <v>417514</v>
      </c>
      <c r="CS40" s="33">
        <v>58451.96</v>
      </c>
      <c r="CT40" s="7">
        <f t="shared" ref="CT40:CT45" si="76">CR40+CS40</f>
        <v>475965.96</v>
      </c>
      <c r="CU40" s="33">
        <v>168266.6</v>
      </c>
      <c r="CV40" s="33">
        <v>23557.32</v>
      </c>
      <c r="CW40" s="7">
        <f t="shared" ref="CW40:CW45" si="77">CU40+CV40</f>
        <v>191823.92</v>
      </c>
      <c r="CX40" s="33">
        <v>13864.37</v>
      </c>
      <c r="CY40" s="33">
        <v>1941.01</v>
      </c>
      <c r="CZ40" s="7">
        <f t="shared" ref="CZ40:CZ45" si="78">CX40+CY40</f>
        <v>15805.380000000001</v>
      </c>
      <c r="DA40" s="33"/>
      <c r="DB40" s="7">
        <f t="shared" ref="DB40:DB45" si="79">DA40</f>
        <v>0</v>
      </c>
      <c r="DC40" s="33"/>
      <c r="DD40" s="7">
        <f t="shared" ref="DD40:DD45" si="80">DC40</f>
        <v>0</v>
      </c>
      <c r="DE40" s="33"/>
      <c r="DF40" s="7">
        <f t="shared" ref="DF40:DF45" si="81">DE40</f>
        <v>0</v>
      </c>
      <c r="DG40" s="33"/>
      <c r="DH40" s="7">
        <f t="shared" ref="DH40:DH45" si="82">DG40</f>
        <v>0</v>
      </c>
      <c r="DI40" s="33"/>
      <c r="DJ40" s="7">
        <f t="shared" ref="DJ40:DJ45" si="83">DI40</f>
        <v>0</v>
      </c>
      <c r="DK40" s="33"/>
      <c r="DL40" s="7">
        <f t="shared" ref="DL40:DL45" si="84">DK40</f>
        <v>0</v>
      </c>
      <c r="DM40" s="33"/>
      <c r="DN40" s="14">
        <f t="shared" ref="DN40:DN45" si="85">CI40+CK40+CM40+CR40+CU40+CX40+DA40+DC40+DE40+DG40+DI40+DK40</f>
        <v>599644.97</v>
      </c>
      <c r="DO40" s="14">
        <f t="shared" ref="DO40:DO45" si="86">CJ40+CL40+CO40+CT40+CW40+CZ40</f>
        <v>683595.26</v>
      </c>
      <c r="DP40" s="7"/>
      <c r="DQ40" s="7">
        <f t="shared" ref="DQ40:DQ45" si="87">AG40-DN40</f>
        <v>3624795.0300000003</v>
      </c>
      <c r="DR40" s="7">
        <f t="shared" ref="DR40:DR45" si="88">AG40-DO40</f>
        <v>3540844.74</v>
      </c>
      <c r="DS40" s="15">
        <f t="shared" si="66"/>
        <v>0.14194661777655737</v>
      </c>
      <c r="DT40" s="15">
        <f t="shared" si="67"/>
        <v>0.16181914289231236</v>
      </c>
      <c r="DU40" s="33">
        <v>68000000</v>
      </c>
      <c r="DV40" s="33"/>
      <c r="DW40" s="33"/>
      <c r="DX40" s="36"/>
      <c r="DY40" s="109"/>
    </row>
    <row r="41" spans="1:129" s="1" customFormat="1">
      <c r="A41" s="12" t="s">
        <v>564</v>
      </c>
      <c r="B41" s="24" t="s">
        <v>62</v>
      </c>
      <c r="C41" s="8" t="s">
        <v>227</v>
      </c>
      <c r="D41" s="24"/>
      <c r="E41" s="3">
        <v>255005</v>
      </c>
      <c r="F41" s="406">
        <v>4</v>
      </c>
      <c r="G41" s="406">
        <v>35</v>
      </c>
      <c r="H41" s="406">
        <v>1508</v>
      </c>
      <c r="I41" s="9" t="s">
        <v>13</v>
      </c>
      <c r="J41" s="10" t="s">
        <v>13</v>
      </c>
      <c r="K41" s="3">
        <v>4</v>
      </c>
      <c r="L41" s="3">
        <v>35</v>
      </c>
      <c r="M41" s="45"/>
      <c r="N41" s="3" t="s">
        <v>186</v>
      </c>
      <c r="O41" s="3" t="s">
        <v>189</v>
      </c>
      <c r="P41" s="11" t="s">
        <v>187</v>
      </c>
      <c r="Q41" s="11" t="s">
        <v>187</v>
      </c>
      <c r="R41" s="11" t="s">
        <v>193</v>
      </c>
      <c r="S41" s="3" t="s">
        <v>188</v>
      </c>
      <c r="T41" s="12" t="s">
        <v>110</v>
      </c>
      <c r="U41" s="12" t="s">
        <v>222</v>
      </c>
      <c r="V41" s="12"/>
      <c r="W41" s="12" t="s">
        <v>36</v>
      </c>
      <c r="X41" s="12" t="s">
        <v>13</v>
      </c>
      <c r="Y41" s="25" t="s">
        <v>69</v>
      </c>
      <c r="Z41" s="25">
        <v>9</v>
      </c>
      <c r="AA41" s="10" t="s">
        <v>541</v>
      </c>
      <c r="AB41" s="110" t="s">
        <v>38</v>
      </c>
      <c r="AC41" s="36">
        <v>500000</v>
      </c>
      <c r="AD41" s="36"/>
      <c r="AE41" s="7">
        <f t="shared" si="69"/>
        <v>500000</v>
      </c>
      <c r="AF41" s="33"/>
      <c r="AG41" s="33">
        <f t="shared" si="70"/>
        <v>500000</v>
      </c>
      <c r="AH41" s="33">
        <v>-500000</v>
      </c>
      <c r="AI41" s="7">
        <f t="shared" si="61"/>
        <v>0</v>
      </c>
      <c r="AJ41" s="472"/>
      <c r="AK41" s="27">
        <v>2000000</v>
      </c>
      <c r="AL41" s="36">
        <v>0</v>
      </c>
      <c r="AM41" s="36">
        <v>0</v>
      </c>
      <c r="AN41" s="7">
        <f t="shared" si="4"/>
        <v>0</v>
      </c>
      <c r="AO41" s="36"/>
      <c r="AP41" s="36"/>
      <c r="AQ41" s="7">
        <f t="shared" si="5"/>
        <v>0</v>
      </c>
      <c r="AR41" s="36"/>
      <c r="AS41" s="36"/>
      <c r="AT41" s="7">
        <f t="shared" si="6"/>
        <v>0</v>
      </c>
      <c r="AU41" s="33"/>
      <c r="AV41" s="33"/>
      <c r="AW41" s="7">
        <f t="shared" si="7"/>
        <v>0</v>
      </c>
      <c r="AX41" s="33"/>
      <c r="AY41" s="33"/>
      <c r="AZ41" s="7">
        <f t="shared" si="8"/>
        <v>0</v>
      </c>
      <c r="BA41" s="33"/>
      <c r="BB41" s="33"/>
      <c r="BC41" s="7">
        <f t="shared" si="9"/>
        <v>0</v>
      </c>
      <c r="BD41" s="33"/>
      <c r="BE41" s="33"/>
      <c r="BF41" s="7">
        <f t="shared" si="10"/>
        <v>0</v>
      </c>
      <c r="BG41" s="33"/>
      <c r="BH41" s="33"/>
      <c r="BI41" s="7">
        <f t="shared" si="11"/>
        <v>0</v>
      </c>
      <c r="BJ41" s="33"/>
      <c r="BK41" s="33"/>
      <c r="BL41" s="7">
        <f t="shared" si="12"/>
        <v>0</v>
      </c>
      <c r="BM41" s="33"/>
      <c r="BN41" s="33"/>
      <c r="BO41" s="7">
        <f t="shared" si="13"/>
        <v>0</v>
      </c>
      <c r="BP41" s="33"/>
      <c r="BQ41" s="33"/>
      <c r="BR41" s="7">
        <f t="shared" si="14"/>
        <v>0</v>
      </c>
      <c r="BS41" s="33"/>
      <c r="BT41" s="33"/>
      <c r="BU41" s="7">
        <f t="shared" si="15"/>
        <v>0</v>
      </c>
      <c r="BV41" s="33">
        <v>0</v>
      </c>
      <c r="BW41" s="7">
        <f t="shared" si="16"/>
        <v>0</v>
      </c>
      <c r="BX41" s="7">
        <f t="shared" si="17"/>
        <v>0</v>
      </c>
      <c r="BY41" s="33"/>
      <c r="BZ41" s="7">
        <f t="shared" si="18"/>
        <v>2000000</v>
      </c>
      <c r="CA41" s="7">
        <f t="shared" si="19"/>
        <v>2000000</v>
      </c>
      <c r="CB41" s="15">
        <f t="shared" si="2"/>
        <v>0</v>
      </c>
      <c r="CC41" s="15">
        <f t="shared" si="3"/>
        <v>0</v>
      </c>
      <c r="CD41" s="495" t="s">
        <v>714</v>
      </c>
      <c r="CE41" s="36">
        <v>10000000</v>
      </c>
      <c r="CF41" s="33">
        <v>20000000</v>
      </c>
      <c r="CG41" s="33">
        <v>8000000</v>
      </c>
      <c r="CH41" s="33"/>
      <c r="CI41" s="36"/>
      <c r="CJ41" s="7">
        <f t="shared" si="71"/>
        <v>0</v>
      </c>
      <c r="CK41" s="36"/>
      <c r="CL41" s="7">
        <f t="shared" si="72"/>
        <v>0</v>
      </c>
      <c r="CM41" s="36"/>
      <c r="CN41" s="36"/>
      <c r="CO41" s="7">
        <f t="shared" si="73"/>
        <v>0</v>
      </c>
      <c r="CP41" s="7">
        <f t="shared" si="74"/>
        <v>0</v>
      </c>
      <c r="CQ41" s="7">
        <f t="shared" si="75"/>
        <v>0</v>
      </c>
      <c r="CR41" s="36"/>
      <c r="CS41" s="36"/>
      <c r="CT41" s="7">
        <f t="shared" si="76"/>
        <v>0</v>
      </c>
      <c r="CU41" s="36"/>
      <c r="CV41" s="36"/>
      <c r="CW41" s="7">
        <f t="shared" si="77"/>
        <v>0</v>
      </c>
      <c r="CX41" s="36"/>
      <c r="CY41" s="36"/>
      <c r="CZ41" s="7">
        <f t="shared" si="78"/>
        <v>0</v>
      </c>
      <c r="DA41" s="36"/>
      <c r="DB41" s="7">
        <f t="shared" si="79"/>
        <v>0</v>
      </c>
      <c r="DC41" s="36"/>
      <c r="DD41" s="7">
        <f t="shared" si="80"/>
        <v>0</v>
      </c>
      <c r="DE41" s="36"/>
      <c r="DF41" s="7">
        <f t="shared" si="81"/>
        <v>0</v>
      </c>
      <c r="DG41" s="36"/>
      <c r="DH41" s="7">
        <f t="shared" si="82"/>
        <v>0</v>
      </c>
      <c r="DI41" s="36"/>
      <c r="DJ41" s="7">
        <f t="shared" si="83"/>
        <v>0</v>
      </c>
      <c r="DK41" s="36"/>
      <c r="DL41" s="7">
        <f t="shared" si="84"/>
        <v>0</v>
      </c>
      <c r="DM41" s="36"/>
      <c r="DN41" s="14">
        <f t="shared" si="85"/>
        <v>0</v>
      </c>
      <c r="DO41" s="14">
        <f t="shared" si="86"/>
        <v>0</v>
      </c>
      <c r="DP41" s="7"/>
      <c r="DQ41" s="7">
        <f t="shared" si="87"/>
        <v>500000</v>
      </c>
      <c r="DR41" s="7">
        <f t="shared" si="88"/>
        <v>500000</v>
      </c>
      <c r="DS41" s="15">
        <f t="shared" si="66"/>
        <v>0</v>
      </c>
      <c r="DT41" s="15">
        <f t="shared" si="67"/>
        <v>0</v>
      </c>
      <c r="DU41" s="300"/>
      <c r="DV41" s="300"/>
      <c r="DW41" s="33"/>
      <c r="DX41" s="36"/>
      <c r="DY41" s="109"/>
    </row>
    <row r="42" spans="1:129" s="1" customFormat="1" ht="30">
      <c r="A42" s="12" t="s">
        <v>564</v>
      </c>
      <c r="B42" s="24" t="s">
        <v>62</v>
      </c>
      <c r="C42" s="8" t="s">
        <v>227</v>
      </c>
      <c r="D42" s="24" t="s">
        <v>13</v>
      </c>
      <c r="E42" s="3">
        <v>255005</v>
      </c>
      <c r="F42" s="406">
        <v>4</v>
      </c>
      <c r="G42" s="406">
        <v>36</v>
      </c>
      <c r="H42" s="406">
        <v>1517</v>
      </c>
      <c r="I42" s="9" t="s">
        <v>13</v>
      </c>
      <c r="J42" s="10" t="s">
        <v>13</v>
      </c>
      <c r="K42" s="3">
        <v>4</v>
      </c>
      <c r="L42" s="3">
        <v>36</v>
      </c>
      <c r="M42" s="45"/>
      <c r="N42" s="3" t="s">
        <v>186</v>
      </c>
      <c r="O42" s="3" t="s">
        <v>189</v>
      </c>
      <c r="P42" s="11" t="s">
        <v>187</v>
      </c>
      <c r="Q42" s="11" t="s">
        <v>187</v>
      </c>
      <c r="R42" s="11" t="s">
        <v>193</v>
      </c>
      <c r="S42" s="3" t="s">
        <v>188</v>
      </c>
      <c r="T42" s="12" t="s">
        <v>110</v>
      </c>
      <c r="U42" s="12" t="s">
        <v>222</v>
      </c>
      <c r="V42" s="12"/>
      <c r="W42" s="12" t="s">
        <v>36</v>
      </c>
      <c r="X42" s="12" t="s">
        <v>13</v>
      </c>
      <c r="Y42" s="25" t="s">
        <v>69</v>
      </c>
      <c r="Z42" s="399">
        <v>31</v>
      </c>
      <c r="AA42" s="10" t="s">
        <v>542</v>
      </c>
      <c r="AB42" s="110" t="s">
        <v>37</v>
      </c>
      <c r="AC42" s="33">
        <v>10000000</v>
      </c>
      <c r="AD42" s="33"/>
      <c r="AE42" s="7">
        <f t="shared" si="69"/>
        <v>10000000</v>
      </c>
      <c r="AF42" s="33">
        <v>4000000</v>
      </c>
      <c r="AG42" s="33">
        <f t="shared" si="70"/>
        <v>14000000</v>
      </c>
      <c r="AH42" s="33"/>
      <c r="AI42" s="7">
        <f t="shared" si="61"/>
        <v>14000000</v>
      </c>
      <c r="AJ42" s="472"/>
      <c r="AK42" s="7">
        <v>2000000</v>
      </c>
      <c r="AL42" s="33">
        <v>82100.88</v>
      </c>
      <c r="AM42" s="33">
        <v>11494.12</v>
      </c>
      <c r="AN42" s="7">
        <f t="shared" si="4"/>
        <v>93595</v>
      </c>
      <c r="AO42" s="33"/>
      <c r="AP42" s="33"/>
      <c r="AQ42" s="7">
        <f t="shared" si="5"/>
        <v>0</v>
      </c>
      <c r="AR42" s="33"/>
      <c r="AS42" s="33"/>
      <c r="AT42" s="7">
        <f t="shared" si="6"/>
        <v>0</v>
      </c>
      <c r="AU42" s="33"/>
      <c r="AV42" s="33"/>
      <c r="AW42" s="7">
        <f t="shared" si="7"/>
        <v>0</v>
      </c>
      <c r="AX42" s="33"/>
      <c r="AY42" s="33"/>
      <c r="AZ42" s="7">
        <f t="shared" si="8"/>
        <v>0</v>
      </c>
      <c r="BA42" s="33"/>
      <c r="BB42" s="33"/>
      <c r="BC42" s="7">
        <f t="shared" si="9"/>
        <v>0</v>
      </c>
      <c r="BD42" s="33"/>
      <c r="BE42" s="33"/>
      <c r="BF42" s="7">
        <f t="shared" si="10"/>
        <v>0</v>
      </c>
      <c r="BG42" s="33"/>
      <c r="BH42" s="33"/>
      <c r="BI42" s="7">
        <f t="shared" si="11"/>
        <v>0</v>
      </c>
      <c r="BJ42" s="33"/>
      <c r="BK42" s="33"/>
      <c r="BL42" s="7">
        <f t="shared" si="12"/>
        <v>0</v>
      </c>
      <c r="BM42" s="33"/>
      <c r="BN42" s="33"/>
      <c r="BO42" s="7">
        <f t="shared" si="13"/>
        <v>0</v>
      </c>
      <c r="BP42" s="33"/>
      <c r="BQ42" s="33"/>
      <c r="BR42" s="7">
        <f t="shared" si="14"/>
        <v>0</v>
      </c>
      <c r="BS42" s="33"/>
      <c r="BT42" s="33"/>
      <c r="BU42" s="7">
        <f t="shared" si="15"/>
        <v>0</v>
      </c>
      <c r="BV42" s="33">
        <v>0</v>
      </c>
      <c r="BW42" s="7">
        <f t="shared" si="16"/>
        <v>82100.88</v>
      </c>
      <c r="BX42" s="7">
        <f t="shared" si="17"/>
        <v>93595</v>
      </c>
      <c r="BY42" s="33"/>
      <c r="BZ42" s="7">
        <f t="shared" si="18"/>
        <v>1917899.12</v>
      </c>
      <c r="CA42" s="7">
        <f t="shared" si="19"/>
        <v>1906405</v>
      </c>
      <c r="CB42" s="15">
        <f t="shared" si="2"/>
        <v>4.1050440000000001E-2</v>
      </c>
      <c r="CC42" s="15">
        <f t="shared" si="3"/>
        <v>4.6797499999999999E-2</v>
      </c>
      <c r="CD42" s="495" t="s">
        <v>715</v>
      </c>
      <c r="CE42" s="33">
        <v>100000</v>
      </c>
      <c r="CF42" s="33">
        <v>0</v>
      </c>
      <c r="CG42" s="33"/>
      <c r="CH42" s="33"/>
      <c r="CI42" s="33"/>
      <c r="CJ42" s="7">
        <f t="shared" si="71"/>
        <v>0</v>
      </c>
      <c r="CK42" s="33"/>
      <c r="CL42" s="7">
        <f t="shared" si="72"/>
        <v>0</v>
      </c>
      <c r="CM42" s="33">
        <v>312750</v>
      </c>
      <c r="CN42" s="33"/>
      <c r="CO42" s="7">
        <f t="shared" si="73"/>
        <v>312750</v>
      </c>
      <c r="CP42" s="7">
        <f t="shared" si="74"/>
        <v>312750</v>
      </c>
      <c r="CQ42" s="7">
        <f t="shared" si="75"/>
        <v>312750</v>
      </c>
      <c r="CR42" s="33">
        <v>34750</v>
      </c>
      <c r="CS42" s="33">
        <v>43785</v>
      </c>
      <c r="CT42" s="7">
        <f t="shared" si="76"/>
        <v>78535</v>
      </c>
      <c r="CU42" s="33">
        <v>793348.34</v>
      </c>
      <c r="CV42" s="33">
        <v>107369.96</v>
      </c>
      <c r="CW42" s="7">
        <f t="shared" si="77"/>
        <v>900718.29999999993</v>
      </c>
      <c r="CX42" s="33">
        <v>439562.11</v>
      </c>
      <c r="CY42" s="33">
        <v>61538.7</v>
      </c>
      <c r="CZ42" s="7">
        <f t="shared" si="78"/>
        <v>501100.81</v>
      </c>
      <c r="DA42" s="33"/>
      <c r="DB42" s="7">
        <f t="shared" si="79"/>
        <v>0</v>
      </c>
      <c r="DC42" s="33"/>
      <c r="DD42" s="7">
        <f t="shared" si="80"/>
        <v>0</v>
      </c>
      <c r="DE42" s="33"/>
      <c r="DF42" s="7">
        <f t="shared" si="81"/>
        <v>0</v>
      </c>
      <c r="DG42" s="33"/>
      <c r="DH42" s="7">
        <f t="shared" si="82"/>
        <v>0</v>
      </c>
      <c r="DI42" s="33"/>
      <c r="DJ42" s="7">
        <f t="shared" si="83"/>
        <v>0</v>
      </c>
      <c r="DK42" s="33"/>
      <c r="DL42" s="7">
        <f t="shared" si="84"/>
        <v>0</v>
      </c>
      <c r="DM42" s="33"/>
      <c r="DN42" s="14">
        <f t="shared" si="85"/>
        <v>1580410.4499999997</v>
      </c>
      <c r="DO42" s="14">
        <f t="shared" si="86"/>
        <v>1793104.1099999999</v>
      </c>
      <c r="DP42" s="7"/>
      <c r="DQ42" s="7">
        <f t="shared" si="87"/>
        <v>12419589.550000001</v>
      </c>
      <c r="DR42" s="7">
        <f t="shared" si="88"/>
        <v>12206895.890000001</v>
      </c>
      <c r="DS42" s="15">
        <f t="shared" si="66"/>
        <v>0.11288646071428569</v>
      </c>
      <c r="DT42" s="15">
        <f t="shared" si="67"/>
        <v>0.12807886499999999</v>
      </c>
      <c r="DU42" s="33"/>
      <c r="DV42" s="33"/>
      <c r="DW42" s="33"/>
      <c r="DX42" s="36"/>
      <c r="DY42" s="109"/>
    </row>
    <row r="43" spans="1:129" s="341" customFormat="1" hidden="1">
      <c r="A43" s="119" t="s">
        <v>564</v>
      </c>
      <c r="B43" s="414" t="s">
        <v>62</v>
      </c>
      <c r="C43" s="8" t="s">
        <v>227</v>
      </c>
      <c r="D43" s="414" t="s">
        <v>13</v>
      </c>
      <c r="E43" s="248">
        <v>255005</v>
      </c>
      <c r="F43" s="415">
        <v>4</v>
      </c>
      <c r="G43" s="415">
        <v>36</v>
      </c>
      <c r="H43" s="415">
        <v>1518</v>
      </c>
      <c r="I43" s="416" t="s">
        <v>13</v>
      </c>
      <c r="J43" s="249" t="s">
        <v>13</v>
      </c>
      <c r="K43" s="248">
        <v>4</v>
      </c>
      <c r="L43" s="248">
        <v>36</v>
      </c>
      <c r="M43" s="403"/>
      <c r="N43" s="248" t="s">
        <v>186</v>
      </c>
      <c r="O43" s="248" t="s">
        <v>189</v>
      </c>
      <c r="P43" s="250" t="s">
        <v>187</v>
      </c>
      <c r="Q43" s="250" t="s">
        <v>187</v>
      </c>
      <c r="R43" s="250" t="s">
        <v>193</v>
      </c>
      <c r="S43" s="248" t="s">
        <v>188</v>
      </c>
      <c r="T43" s="119" t="s">
        <v>110</v>
      </c>
      <c r="U43" s="119" t="s">
        <v>222</v>
      </c>
      <c r="V43" s="119"/>
      <c r="W43" s="119" t="s">
        <v>36</v>
      </c>
      <c r="X43" s="119" t="s">
        <v>13</v>
      </c>
      <c r="Y43" s="251" t="s">
        <v>69</v>
      </c>
      <c r="Z43" s="251">
        <v>43</v>
      </c>
      <c r="AA43" s="249" t="s">
        <v>543</v>
      </c>
      <c r="AB43" s="417" t="s">
        <v>37</v>
      </c>
      <c r="AC43" s="418">
        <v>200000</v>
      </c>
      <c r="AD43" s="418"/>
      <c r="AE43" s="124">
        <f t="shared" si="69"/>
        <v>200000</v>
      </c>
      <c r="AF43" s="418">
        <v>0</v>
      </c>
      <c r="AG43" s="418">
        <f t="shared" si="70"/>
        <v>200000</v>
      </c>
      <c r="AH43" s="418"/>
      <c r="AI43" s="124">
        <f t="shared" si="61"/>
        <v>200000</v>
      </c>
      <c r="AJ43" s="344"/>
      <c r="AK43" s="124">
        <v>0</v>
      </c>
      <c r="AL43" s="418"/>
      <c r="AM43" s="418"/>
      <c r="AN43" s="7">
        <f t="shared" si="4"/>
        <v>0</v>
      </c>
      <c r="AO43" s="418"/>
      <c r="AP43" s="418"/>
      <c r="AQ43" s="7">
        <f t="shared" si="5"/>
        <v>0</v>
      </c>
      <c r="AR43" s="418"/>
      <c r="AS43" s="418"/>
      <c r="AT43" s="7">
        <f t="shared" si="6"/>
        <v>0</v>
      </c>
      <c r="AU43" s="33"/>
      <c r="AV43" s="33"/>
      <c r="AW43" s="7">
        <f t="shared" si="7"/>
        <v>0</v>
      </c>
      <c r="AX43" s="33"/>
      <c r="AY43" s="33"/>
      <c r="AZ43" s="7">
        <f t="shared" si="8"/>
        <v>0</v>
      </c>
      <c r="BA43" s="33"/>
      <c r="BB43" s="33"/>
      <c r="BC43" s="7">
        <f t="shared" si="9"/>
        <v>0</v>
      </c>
      <c r="BD43" s="33"/>
      <c r="BE43" s="33"/>
      <c r="BF43" s="7">
        <f t="shared" si="10"/>
        <v>0</v>
      </c>
      <c r="BG43" s="33"/>
      <c r="BH43" s="33"/>
      <c r="BI43" s="7">
        <f t="shared" si="11"/>
        <v>0</v>
      </c>
      <c r="BJ43" s="33"/>
      <c r="BK43" s="33"/>
      <c r="BL43" s="7">
        <f t="shared" si="12"/>
        <v>0</v>
      </c>
      <c r="BM43" s="33"/>
      <c r="BN43" s="33"/>
      <c r="BO43" s="7">
        <f t="shared" si="13"/>
        <v>0</v>
      </c>
      <c r="BP43" s="33"/>
      <c r="BQ43" s="33"/>
      <c r="BR43" s="7">
        <f t="shared" si="14"/>
        <v>0</v>
      </c>
      <c r="BS43" s="33"/>
      <c r="BT43" s="33"/>
      <c r="BU43" s="7">
        <f t="shared" si="15"/>
        <v>0</v>
      </c>
      <c r="BV43" s="33"/>
      <c r="BW43" s="7">
        <f t="shared" si="16"/>
        <v>0</v>
      </c>
      <c r="BX43" s="7">
        <f t="shared" si="17"/>
        <v>0</v>
      </c>
      <c r="BY43" s="33"/>
      <c r="BZ43" s="7">
        <f t="shared" si="18"/>
        <v>0</v>
      </c>
      <c r="CA43" s="7">
        <f t="shared" si="19"/>
        <v>0</v>
      </c>
      <c r="CB43" s="15" t="e">
        <f t="shared" si="2"/>
        <v>#DIV/0!</v>
      </c>
      <c r="CC43" s="15" t="e">
        <f t="shared" si="3"/>
        <v>#DIV/0!</v>
      </c>
      <c r="CD43" s="490"/>
      <c r="CE43" s="418">
        <v>0</v>
      </c>
      <c r="CF43" s="418">
        <v>100000</v>
      </c>
      <c r="CG43" s="418"/>
      <c r="CH43" s="418"/>
      <c r="CI43" s="418"/>
      <c r="CJ43" s="124">
        <f t="shared" si="71"/>
        <v>0</v>
      </c>
      <c r="CK43" s="418"/>
      <c r="CL43" s="124">
        <f t="shared" si="72"/>
        <v>0</v>
      </c>
      <c r="CM43" s="418"/>
      <c r="CN43" s="418">
        <v>0</v>
      </c>
      <c r="CO43" s="124">
        <f t="shared" si="73"/>
        <v>0</v>
      </c>
      <c r="CP43" s="124">
        <f t="shared" si="74"/>
        <v>0</v>
      </c>
      <c r="CQ43" s="124">
        <f t="shared" si="75"/>
        <v>0</v>
      </c>
      <c r="CR43" s="418"/>
      <c r="CS43" s="418"/>
      <c r="CT43" s="124">
        <f t="shared" si="76"/>
        <v>0</v>
      </c>
      <c r="CU43" s="418"/>
      <c r="CV43" s="418"/>
      <c r="CW43" s="124">
        <f t="shared" si="77"/>
        <v>0</v>
      </c>
      <c r="CX43" s="418"/>
      <c r="CY43" s="418"/>
      <c r="CZ43" s="124">
        <f t="shared" si="78"/>
        <v>0</v>
      </c>
      <c r="DA43" s="418"/>
      <c r="DB43" s="124">
        <f t="shared" si="79"/>
        <v>0</v>
      </c>
      <c r="DC43" s="418"/>
      <c r="DD43" s="124">
        <f t="shared" si="80"/>
        <v>0</v>
      </c>
      <c r="DE43" s="418"/>
      <c r="DF43" s="124">
        <f t="shared" si="81"/>
        <v>0</v>
      </c>
      <c r="DG43" s="418"/>
      <c r="DH43" s="124">
        <f t="shared" si="82"/>
        <v>0</v>
      </c>
      <c r="DI43" s="418"/>
      <c r="DJ43" s="124">
        <f t="shared" si="83"/>
        <v>0</v>
      </c>
      <c r="DK43" s="418"/>
      <c r="DL43" s="124">
        <f t="shared" si="84"/>
        <v>0</v>
      </c>
      <c r="DM43" s="418"/>
      <c r="DN43" s="338">
        <f t="shared" si="85"/>
        <v>0</v>
      </c>
      <c r="DO43" s="338">
        <f t="shared" si="86"/>
        <v>0</v>
      </c>
      <c r="DP43" s="124"/>
      <c r="DQ43" s="124">
        <f t="shared" si="87"/>
        <v>200000</v>
      </c>
      <c r="DR43" s="124">
        <f t="shared" si="88"/>
        <v>200000</v>
      </c>
      <c r="DS43" s="339">
        <f t="shared" si="66"/>
        <v>0</v>
      </c>
      <c r="DT43" s="339">
        <f t="shared" si="67"/>
        <v>0</v>
      </c>
      <c r="DU43" s="418"/>
      <c r="DV43" s="418"/>
      <c r="DW43" s="418"/>
      <c r="DX43" s="318"/>
      <c r="DY43" s="419"/>
    </row>
    <row r="44" spans="1:129" s="1" customFormat="1" ht="24" customHeight="1">
      <c r="A44" s="12" t="s">
        <v>564</v>
      </c>
      <c r="B44" s="24" t="s">
        <v>62</v>
      </c>
      <c r="C44" s="8" t="s">
        <v>227</v>
      </c>
      <c r="D44" s="24" t="s">
        <v>13</v>
      </c>
      <c r="E44" s="3">
        <v>255005</v>
      </c>
      <c r="F44" s="406">
        <v>4</v>
      </c>
      <c r="G44" s="406">
        <v>36</v>
      </c>
      <c r="H44" s="406">
        <v>1519</v>
      </c>
      <c r="I44" s="9" t="s">
        <v>13</v>
      </c>
      <c r="J44" s="10" t="s">
        <v>13</v>
      </c>
      <c r="K44" s="3">
        <v>4</v>
      </c>
      <c r="L44" s="3">
        <v>36</v>
      </c>
      <c r="M44" s="45"/>
      <c r="N44" s="3" t="s">
        <v>186</v>
      </c>
      <c r="O44" s="3" t="s">
        <v>189</v>
      </c>
      <c r="P44" s="11" t="s">
        <v>187</v>
      </c>
      <c r="Q44" s="11" t="s">
        <v>187</v>
      </c>
      <c r="R44" s="11" t="s">
        <v>193</v>
      </c>
      <c r="S44" s="3" t="s">
        <v>188</v>
      </c>
      <c r="T44" s="12" t="s">
        <v>110</v>
      </c>
      <c r="U44" s="12" t="s">
        <v>222</v>
      </c>
      <c r="V44" s="12"/>
      <c r="W44" s="12" t="s">
        <v>36</v>
      </c>
      <c r="X44" s="12" t="s">
        <v>13</v>
      </c>
      <c r="Y44" s="25" t="s">
        <v>69</v>
      </c>
      <c r="Z44" s="25">
        <v>46</v>
      </c>
      <c r="AA44" s="10" t="s">
        <v>544</v>
      </c>
      <c r="AB44" s="110" t="s">
        <v>37</v>
      </c>
      <c r="AC44" s="33">
        <v>2000000</v>
      </c>
      <c r="AD44" s="33"/>
      <c r="AE44" s="7">
        <f t="shared" si="69"/>
        <v>2000000</v>
      </c>
      <c r="AF44" s="33">
        <v>0</v>
      </c>
      <c r="AG44" s="33">
        <f t="shared" si="70"/>
        <v>2000000</v>
      </c>
      <c r="AH44" s="33"/>
      <c r="AI44" s="7">
        <f t="shared" si="61"/>
        <v>2000000</v>
      </c>
      <c r="AJ44" s="472"/>
      <c r="AK44" s="7">
        <v>3547208</v>
      </c>
      <c r="AL44" s="33">
        <v>0</v>
      </c>
      <c r="AM44" s="33">
        <v>0</v>
      </c>
      <c r="AN44" s="7">
        <f t="shared" si="4"/>
        <v>0</v>
      </c>
      <c r="AO44" s="33"/>
      <c r="AP44" s="33"/>
      <c r="AQ44" s="7">
        <f t="shared" si="5"/>
        <v>0</v>
      </c>
      <c r="AR44" s="33"/>
      <c r="AS44" s="33"/>
      <c r="AT44" s="7">
        <f t="shared" si="6"/>
        <v>0</v>
      </c>
      <c r="AU44" s="33"/>
      <c r="AV44" s="33"/>
      <c r="AW44" s="7">
        <f t="shared" si="7"/>
        <v>0</v>
      </c>
      <c r="AX44" s="33"/>
      <c r="AY44" s="33"/>
      <c r="AZ44" s="7">
        <f t="shared" si="8"/>
        <v>0</v>
      </c>
      <c r="BA44" s="33"/>
      <c r="BB44" s="33"/>
      <c r="BC44" s="7">
        <f t="shared" si="9"/>
        <v>0</v>
      </c>
      <c r="BD44" s="33"/>
      <c r="BE44" s="33"/>
      <c r="BF44" s="7">
        <f t="shared" si="10"/>
        <v>0</v>
      </c>
      <c r="BG44" s="33"/>
      <c r="BH44" s="33"/>
      <c r="BI44" s="7">
        <f t="shared" si="11"/>
        <v>0</v>
      </c>
      <c r="BJ44" s="33"/>
      <c r="BK44" s="33"/>
      <c r="BL44" s="7">
        <f t="shared" si="12"/>
        <v>0</v>
      </c>
      <c r="BM44" s="33"/>
      <c r="BN44" s="33"/>
      <c r="BO44" s="7">
        <f t="shared" si="13"/>
        <v>0</v>
      </c>
      <c r="BP44" s="33"/>
      <c r="BQ44" s="33"/>
      <c r="BR44" s="7">
        <f t="shared" si="14"/>
        <v>0</v>
      </c>
      <c r="BS44" s="33"/>
      <c r="BT44" s="33"/>
      <c r="BU44" s="7">
        <f t="shared" si="15"/>
        <v>0</v>
      </c>
      <c r="BV44" s="33">
        <v>0</v>
      </c>
      <c r="BW44" s="7">
        <f t="shared" si="16"/>
        <v>0</v>
      </c>
      <c r="BX44" s="7">
        <f t="shared" si="17"/>
        <v>0</v>
      </c>
      <c r="BY44" s="33"/>
      <c r="BZ44" s="7">
        <f t="shared" si="18"/>
        <v>3547208</v>
      </c>
      <c r="CA44" s="7">
        <f t="shared" si="19"/>
        <v>3547208</v>
      </c>
      <c r="CB44" s="15">
        <f t="shared" si="2"/>
        <v>0</v>
      </c>
      <c r="CC44" s="15">
        <f t="shared" si="3"/>
        <v>0</v>
      </c>
      <c r="CD44" s="502" t="s">
        <v>716</v>
      </c>
      <c r="CE44" s="33">
        <v>16000000</v>
      </c>
      <c r="CF44" s="33">
        <v>15000000</v>
      </c>
      <c r="CG44" s="33"/>
      <c r="CH44" s="33"/>
      <c r="CI44" s="33"/>
      <c r="CJ44" s="7">
        <f t="shared" si="71"/>
        <v>0</v>
      </c>
      <c r="CK44" s="33"/>
      <c r="CL44" s="7">
        <f t="shared" si="72"/>
        <v>0</v>
      </c>
      <c r="CM44" s="33"/>
      <c r="CN44" s="33">
        <v>0</v>
      </c>
      <c r="CO44" s="7">
        <f t="shared" si="73"/>
        <v>0</v>
      </c>
      <c r="CP44" s="7">
        <f t="shared" si="74"/>
        <v>0</v>
      </c>
      <c r="CQ44" s="7">
        <f t="shared" si="75"/>
        <v>0</v>
      </c>
      <c r="CR44" s="33"/>
      <c r="CS44" s="33"/>
      <c r="CT44" s="7">
        <f t="shared" si="76"/>
        <v>0</v>
      </c>
      <c r="CU44" s="33"/>
      <c r="CV44" s="33"/>
      <c r="CW44" s="7">
        <f t="shared" si="77"/>
        <v>0</v>
      </c>
      <c r="CX44" s="33"/>
      <c r="CY44" s="33"/>
      <c r="CZ44" s="7">
        <f t="shared" si="78"/>
        <v>0</v>
      </c>
      <c r="DA44" s="33"/>
      <c r="DB44" s="7">
        <f t="shared" si="79"/>
        <v>0</v>
      </c>
      <c r="DC44" s="33"/>
      <c r="DD44" s="7">
        <f t="shared" si="80"/>
        <v>0</v>
      </c>
      <c r="DE44" s="33"/>
      <c r="DF44" s="7">
        <f t="shared" si="81"/>
        <v>0</v>
      </c>
      <c r="DG44" s="33"/>
      <c r="DH44" s="7">
        <f t="shared" si="82"/>
        <v>0</v>
      </c>
      <c r="DI44" s="33"/>
      <c r="DJ44" s="7">
        <f t="shared" si="83"/>
        <v>0</v>
      </c>
      <c r="DK44" s="33"/>
      <c r="DL44" s="7">
        <f t="shared" si="84"/>
        <v>0</v>
      </c>
      <c r="DM44" s="33"/>
      <c r="DN44" s="14">
        <f t="shared" si="85"/>
        <v>0</v>
      </c>
      <c r="DO44" s="14">
        <f t="shared" si="86"/>
        <v>0</v>
      </c>
      <c r="DP44" s="7"/>
      <c r="DQ44" s="7">
        <f t="shared" si="87"/>
        <v>2000000</v>
      </c>
      <c r="DR44" s="7">
        <f t="shared" si="88"/>
        <v>2000000</v>
      </c>
      <c r="DS44" s="15">
        <f t="shared" si="66"/>
        <v>0</v>
      </c>
      <c r="DT44" s="15">
        <f t="shared" si="67"/>
        <v>0</v>
      </c>
      <c r="DU44" s="33">
        <f>70000000+70000000</f>
        <v>140000000</v>
      </c>
      <c r="DV44" s="33"/>
      <c r="DW44" s="33" t="s">
        <v>435</v>
      </c>
      <c r="DX44" s="36"/>
      <c r="DY44" s="109"/>
    </row>
    <row r="45" spans="1:129" s="1" customFormat="1" ht="21.75" customHeight="1">
      <c r="A45" s="12" t="s">
        <v>564</v>
      </c>
      <c r="B45" s="24" t="s">
        <v>62</v>
      </c>
      <c r="C45" s="8" t="s">
        <v>227</v>
      </c>
      <c r="D45" s="24"/>
      <c r="E45" s="3">
        <v>255005</v>
      </c>
      <c r="F45" s="406">
        <v>4</v>
      </c>
      <c r="G45" s="406">
        <v>35</v>
      </c>
      <c r="H45" s="406">
        <v>1509</v>
      </c>
      <c r="I45" s="9" t="s">
        <v>13</v>
      </c>
      <c r="J45" s="10" t="s">
        <v>13</v>
      </c>
      <c r="K45" s="3">
        <v>4</v>
      </c>
      <c r="L45" s="3">
        <v>35</v>
      </c>
      <c r="M45" s="45"/>
      <c r="N45" s="3" t="s">
        <v>186</v>
      </c>
      <c r="O45" s="3" t="s">
        <v>189</v>
      </c>
      <c r="P45" s="11" t="s">
        <v>187</v>
      </c>
      <c r="Q45" s="11" t="s">
        <v>187</v>
      </c>
      <c r="R45" s="11" t="s">
        <v>193</v>
      </c>
      <c r="S45" s="3" t="s">
        <v>188</v>
      </c>
      <c r="T45" s="12" t="s">
        <v>110</v>
      </c>
      <c r="U45" s="12" t="s">
        <v>222</v>
      </c>
      <c r="V45" s="12"/>
      <c r="W45" s="12" t="s">
        <v>36</v>
      </c>
      <c r="X45" s="12" t="s">
        <v>13</v>
      </c>
      <c r="Y45" s="25" t="s">
        <v>69</v>
      </c>
      <c r="Z45" s="25" t="s">
        <v>142</v>
      </c>
      <c r="AA45" s="10" t="s">
        <v>167</v>
      </c>
      <c r="AB45" s="110" t="s">
        <v>38</v>
      </c>
      <c r="AC45" s="33">
        <v>390000</v>
      </c>
      <c r="AD45" s="33"/>
      <c r="AE45" s="7">
        <f t="shared" si="69"/>
        <v>390000</v>
      </c>
      <c r="AF45" s="33"/>
      <c r="AG45" s="33">
        <f t="shared" si="70"/>
        <v>390000</v>
      </c>
      <c r="AH45" s="33"/>
      <c r="AI45" s="7">
        <f t="shared" si="61"/>
        <v>390000</v>
      </c>
      <c r="AJ45" s="472"/>
      <c r="AK45" s="7">
        <v>500000</v>
      </c>
      <c r="AL45" s="33">
        <v>0</v>
      </c>
      <c r="AM45" s="33">
        <v>0</v>
      </c>
      <c r="AN45" s="7">
        <f t="shared" si="4"/>
        <v>0</v>
      </c>
      <c r="AO45" s="33"/>
      <c r="AP45" s="33"/>
      <c r="AQ45" s="7">
        <f t="shared" si="5"/>
        <v>0</v>
      </c>
      <c r="AR45" s="33"/>
      <c r="AS45" s="33"/>
      <c r="AT45" s="7">
        <f t="shared" si="6"/>
        <v>0</v>
      </c>
      <c r="AU45" s="33"/>
      <c r="AV45" s="33"/>
      <c r="AW45" s="7">
        <f t="shared" si="7"/>
        <v>0</v>
      </c>
      <c r="AX45" s="33"/>
      <c r="AY45" s="33"/>
      <c r="AZ45" s="7">
        <f t="shared" si="8"/>
        <v>0</v>
      </c>
      <c r="BA45" s="33"/>
      <c r="BB45" s="33"/>
      <c r="BC45" s="7">
        <f t="shared" si="9"/>
        <v>0</v>
      </c>
      <c r="BD45" s="33"/>
      <c r="BE45" s="33"/>
      <c r="BF45" s="7">
        <f t="shared" si="10"/>
        <v>0</v>
      </c>
      <c r="BG45" s="33"/>
      <c r="BH45" s="33"/>
      <c r="BI45" s="7">
        <f t="shared" si="11"/>
        <v>0</v>
      </c>
      <c r="BJ45" s="33"/>
      <c r="BK45" s="33"/>
      <c r="BL45" s="7">
        <f t="shared" si="12"/>
        <v>0</v>
      </c>
      <c r="BM45" s="33"/>
      <c r="BN45" s="33"/>
      <c r="BO45" s="7">
        <f t="shared" si="13"/>
        <v>0</v>
      </c>
      <c r="BP45" s="33"/>
      <c r="BQ45" s="33"/>
      <c r="BR45" s="7">
        <f t="shared" si="14"/>
        <v>0</v>
      </c>
      <c r="BS45" s="33"/>
      <c r="BT45" s="33"/>
      <c r="BU45" s="7">
        <f t="shared" si="15"/>
        <v>0</v>
      </c>
      <c r="BV45" s="33">
        <v>0</v>
      </c>
      <c r="BW45" s="7">
        <f t="shared" si="16"/>
        <v>0</v>
      </c>
      <c r="BX45" s="7">
        <f t="shared" si="17"/>
        <v>0</v>
      </c>
      <c r="BY45" s="33"/>
      <c r="BZ45" s="7">
        <f t="shared" si="18"/>
        <v>500000</v>
      </c>
      <c r="CA45" s="7">
        <f t="shared" si="19"/>
        <v>500000</v>
      </c>
      <c r="CB45" s="15">
        <f t="shared" si="2"/>
        <v>0</v>
      </c>
      <c r="CC45" s="15">
        <f t="shared" si="3"/>
        <v>0</v>
      </c>
      <c r="CD45" s="502" t="s">
        <v>717</v>
      </c>
      <c r="CE45" s="33">
        <v>1000000</v>
      </c>
      <c r="CF45" s="33"/>
      <c r="CG45" s="33"/>
      <c r="CH45" s="33"/>
      <c r="CI45" s="33"/>
      <c r="CJ45" s="7">
        <f t="shared" si="71"/>
        <v>0</v>
      </c>
      <c r="CK45" s="33"/>
      <c r="CL45" s="7">
        <f t="shared" si="72"/>
        <v>0</v>
      </c>
      <c r="CM45" s="33"/>
      <c r="CN45" s="33"/>
      <c r="CO45" s="7">
        <f t="shared" si="73"/>
        <v>0</v>
      </c>
      <c r="CP45" s="7">
        <f t="shared" si="74"/>
        <v>0</v>
      </c>
      <c r="CQ45" s="7">
        <f t="shared" si="75"/>
        <v>0</v>
      </c>
      <c r="CR45" s="33"/>
      <c r="CS45" s="33"/>
      <c r="CT45" s="7">
        <f t="shared" si="76"/>
        <v>0</v>
      </c>
      <c r="CU45" s="33">
        <v>60641.08</v>
      </c>
      <c r="CV45" s="33"/>
      <c r="CW45" s="7">
        <f t="shared" si="77"/>
        <v>60641.08</v>
      </c>
      <c r="CX45" s="33"/>
      <c r="CY45" s="33"/>
      <c r="CZ45" s="7">
        <f t="shared" si="78"/>
        <v>0</v>
      </c>
      <c r="DA45" s="33"/>
      <c r="DB45" s="7">
        <f t="shared" si="79"/>
        <v>0</v>
      </c>
      <c r="DC45" s="33"/>
      <c r="DD45" s="7">
        <f t="shared" si="80"/>
        <v>0</v>
      </c>
      <c r="DE45" s="33"/>
      <c r="DF45" s="7">
        <f t="shared" si="81"/>
        <v>0</v>
      </c>
      <c r="DG45" s="33"/>
      <c r="DH45" s="7">
        <f t="shared" si="82"/>
        <v>0</v>
      </c>
      <c r="DI45" s="33"/>
      <c r="DJ45" s="7">
        <f t="shared" si="83"/>
        <v>0</v>
      </c>
      <c r="DK45" s="33"/>
      <c r="DL45" s="7">
        <f t="shared" si="84"/>
        <v>0</v>
      </c>
      <c r="DM45" s="33"/>
      <c r="DN45" s="14">
        <f t="shared" si="85"/>
        <v>60641.08</v>
      </c>
      <c r="DO45" s="14">
        <f t="shared" si="86"/>
        <v>60641.08</v>
      </c>
      <c r="DP45" s="7"/>
      <c r="DQ45" s="7">
        <f t="shared" si="87"/>
        <v>329358.92</v>
      </c>
      <c r="DR45" s="7">
        <f t="shared" si="88"/>
        <v>329358.92</v>
      </c>
      <c r="DS45" s="15">
        <f t="shared" si="66"/>
        <v>0.15548994871794872</v>
      </c>
      <c r="DT45" s="15">
        <f t="shared" si="67"/>
        <v>0.15548994871794872</v>
      </c>
      <c r="DU45" s="300"/>
      <c r="DV45" s="300"/>
      <c r="DW45" s="33"/>
      <c r="DX45" s="36"/>
      <c r="DY45" s="109"/>
    </row>
    <row r="46" spans="1:129" s="1" customFormat="1" ht="16.5" customHeight="1" thickBot="1">
      <c r="A46" s="114"/>
      <c r="B46" s="28"/>
      <c r="C46" s="114"/>
      <c r="D46" s="28"/>
      <c r="E46" s="16"/>
      <c r="F46" s="408"/>
      <c r="G46" s="408"/>
      <c r="H46" s="408"/>
      <c r="I46" s="37"/>
      <c r="J46" s="38"/>
      <c r="K46" s="16"/>
      <c r="L46" s="16"/>
      <c r="M46" s="57"/>
      <c r="N46" s="16"/>
      <c r="O46" s="16"/>
      <c r="P46" s="16"/>
      <c r="Q46" s="16"/>
      <c r="R46" s="16"/>
      <c r="S46" s="16"/>
      <c r="T46" s="28"/>
      <c r="U46" s="28"/>
      <c r="V46" s="28"/>
      <c r="W46" s="28"/>
      <c r="X46" s="28"/>
      <c r="Y46" s="39"/>
      <c r="Z46" s="30"/>
      <c r="AA46" s="56" t="s">
        <v>579</v>
      </c>
      <c r="AB46" s="28"/>
      <c r="AC46" s="42">
        <f>SUM(AC19:AC45)</f>
        <v>75564440</v>
      </c>
      <c r="AD46" s="42">
        <f>SUM(AD19:AD45)</f>
        <v>0</v>
      </c>
      <c r="AE46" s="42">
        <f>SUM(AE19:AE45)</f>
        <v>75564440</v>
      </c>
      <c r="AF46" s="42">
        <f>SUM(AF19:AF45)</f>
        <v>5931500</v>
      </c>
      <c r="AG46" s="42">
        <f>SUM(AG17:AG45)</f>
        <v>81695940</v>
      </c>
      <c r="AH46" s="42">
        <f>SUM(AH17:AH45)</f>
        <v>-800000</v>
      </c>
      <c r="AI46" s="42">
        <f>SUM(AI17:AI45)</f>
        <v>80895940</v>
      </c>
      <c r="AJ46" s="473">
        <f>SUM(AJ17:AJ45)</f>
        <v>0</v>
      </c>
      <c r="AK46" s="42">
        <f>SUM(AK17:AK45)</f>
        <v>90136108</v>
      </c>
      <c r="AL46" s="42">
        <f t="shared" ref="AL46:CA46" si="89">SUM(AL17:AL45)</f>
        <v>4419423.2700000005</v>
      </c>
      <c r="AM46" s="42">
        <f t="shared" si="89"/>
        <v>304419.25</v>
      </c>
      <c r="AN46" s="42">
        <f t="shared" si="89"/>
        <v>4723842.5200000005</v>
      </c>
      <c r="AO46" s="42">
        <f t="shared" si="89"/>
        <v>0</v>
      </c>
      <c r="AP46" s="42">
        <f t="shared" si="89"/>
        <v>0</v>
      </c>
      <c r="AQ46" s="42">
        <f t="shared" si="89"/>
        <v>0</v>
      </c>
      <c r="AR46" s="42">
        <f t="shared" si="89"/>
        <v>0</v>
      </c>
      <c r="AS46" s="42">
        <f t="shared" si="89"/>
        <v>0</v>
      </c>
      <c r="AT46" s="42">
        <f t="shared" si="89"/>
        <v>0</v>
      </c>
      <c r="AU46" s="42">
        <f t="shared" si="89"/>
        <v>0</v>
      </c>
      <c r="AV46" s="42">
        <f t="shared" si="89"/>
        <v>0</v>
      </c>
      <c r="AW46" s="42">
        <f t="shared" si="89"/>
        <v>0</v>
      </c>
      <c r="AX46" s="42">
        <f t="shared" si="89"/>
        <v>0</v>
      </c>
      <c r="AY46" s="42">
        <f t="shared" si="89"/>
        <v>0</v>
      </c>
      <c r="AZ46" s="42">
        <f t="shared" si="89"/>
        <v>0</v>
      </c>
      <c r="BA46" s="42">
        <f t="shared" si="89"/>
        <v>0</v>
      </c>
      <c r="BB46" s="42">
        <f t="shared" si="89"/>
        <v>0</v>
      </c>
      <c r="BC46" s="42">
        <f t="shared" si="89"/>
        <v>0</v>
      </c>
      <c r="BD46" s="42">
        <f t="shared" si="89"/>
        <v>0</v>
      </c>
      <c r="BE46" s="42">
        <f t="shared" si="89"/>
        <v>0</v>
      </c>
      <c r="BF46" s="42">
        <f t="shared" si="89"/>
        <v>0</v>
      </c>
      <c r="BG46" s="42">
        <f t="shared" si="89"/>
        <v>0</v>
      </c>
      <c r="BH46" s="42">
        <f t="shared" si="89"/>
        <v>0</v>
      </c>
      <c r="BI46" s="42">
        <f t="shared" si="89"/>
        <v>0</v>
      </c>
      <c r="BJ46" s="42">
        <f t="shared" si="89"/>
        <v>0</v>
      </c>
      <c r="BK46" s="42">
        <f t="shared" si="89"/>
        <v>0</v>
      </c>
      <c r="BL46" s="42">
        <f t="shared" si="89"/>
        <v>0</v>
      </c>
      <c r="BM46" s="42">
        <f t="shared" si="89"/>
        <v>0</v>
      </c>
      <c r="BN46" s="42">
        <f t="shared" si="89"/>
        <v>0</v>
      </c>
      <c r="BO46" s="42">
        <f t="shared" si="89"/>
        <v>0</v>
      </c>
      <c r="BP46" s="42">
        <f t="shared" si="89"/>
        <v>0</v>
      </c>
      <c r="BQ46" s="42">
        <f t="shared" si="89"/>
        <v>0</v>
      </c>
      <c r="BR46" s="42">
        <f t="shared" si="89"/>
        <v>0</v>
      </c>
      <c r="BS46" s="42">
        <f t="shared" si="89"/>
        <v>0</v>
      </c>
      <c r="BT46" s="42">
        <f t="shared" si="89"/>
        <v>0</v>
      </c>
      <c r="BU46" s="42">
        <f t="shared" si="89"/>
        <v>0</v>
      </c>
      <c r="BV46" s="42">
        <f t="shared" si="89"/>
        <v>19586.3</v>
      </c>
      <c r="BW46" s="42">
        <f t="shared" si="89"/>
        <v>4419423.2700000005</v>
      </c>
      <c r="BX46" s="42">
        <f t="shared" si="89"/>
        <v>4723842.5200000005</v>
      </c>
      <c r="BY46" s="42">
        <f t="shared" si="89"/>
        <v>0</v>
      </c>
      <c r="BZ46" s="42">
        <f t="shared" si="89"/>
        <v>85716684.730000004</v>
      </c>
      <c r="CA46" s="42">
        <f t="shared" si="89"/>
        <v>85412265.479999989</v>
      </c>
      <c r="CB46" s="21">
        <f t="shared" si="2"/>
        <v>4.9030553549083797E-2</v>
      </c>
      <c r="CC46" s="21">
        <f t="shared" si="3"/>
        <v>5.2407882088718549E-2</v>
      </c>
      <c r="CD46" s="489"/>
      <c r="CE46" s="42" t="e">
        <f>+CE17+CE18+#REF!+#REF!+#REF!+CE27+CE28+#REF!+#REF!+CE34+CE35+#REF!+CE38+CE39+CE40+CE41+CE42+CE43+CE44+CE45</f>
        <v>#REF!</v>
      </c>
      <c r="CF46" s="42" t="e">
        <f>+CF17+CF18+#REF!+#REF!+#REF!+CF27+CF28+#REF!+#REF!+CF34+CF35+#REF!+CF38+CF39+CF40+CF41+CF42+CF43+CF44+CF45</f>
        <v>#REF!</v>
      </c>
      <c r="CG46" s="42" t="e">
        <f>+CG17+CG18+#REF!+#REF!+#REF!+CG27+CG28+#REF!+#REF!+CG34+CG35+#REF!+CG38+CG39+CG40+CG41+CG42+CG43+CG44+CG45</f>
        <v>#REF!</v>
      </c>
      <c r="CH46" s="42" t="e">
        <f>+CH17+CH18+#REF!+#REF!+#REF!+CH27+CH28+#REF!+#REF!+CH34+CH35+#REF!+CH38+CH39+CH40+CH41+CH42+CH43+CH44+CH45</f>
        <v>#REF!</v>
      </c>
      <c r="CI46" s="42">
        <f t="shared" ref="CI46:DR46" si="90">SUM(CI19:CI45)</f>
        <v>0</v>
      </c>
      <c r="CJ46" s="42">
        <f t="shared" si="90"/>
        <v>0</v>
      </c>
      <c r="CK46" s="42">
        <f t="shared" si="90"/>
        <v>206300.69</v>
      </c>
      <c r="CL46" s="42">
        <f t="shared" si="90"/>
        <v>227189.19</v>
      </c>
      <c r="CM46" s="42">
        <f t="shared" si="90"/>
        <v>1146539.54</v>
      </c>
      <c r="CN46" s="42">
        <f t="shared" si="90"/>
        <v>117970.53</v>
      </c>
      <c r="CO46" s="42">
        <f t="shared" si="90"/>
        <v>1264510.07</v>
      </c>
      <c r="CP46" s="42">
        <f t="shared" si="90"/>
        <v>1352840.23</v>
      </c>
      <c r="CQ46" s="42">
        <f t="shared" si="90"/>
        <v>1491699.2600000002</v>
      </c>
      <c r="CR46" s="42">
        <f t="shared" si="90"/>
        <v>452264</v>
      </c>
      <c r="CS46" s="42">
        <f t="shared" si="90"/>
        <v>102236.95999999999</v>
      </c>
      <c r="CT46" s="42">
        <f t="shared" si="90"/>
        <v>554500.96</v>
      </c>
      <c r="CU46" s="42">
        <f t="shared" si="90"/>
        <v>1396731.9100000001</v>
      </c>
      <c r="CV46" s="42">
        <f t="shared" si="90"/>
        <v>179317.02000000002</v>
      </c>
      <c r="CW46" s="42">
        <f t="shared" si="90"/>
        <v>1576048.9300000002</v>
      </c>
      <c r="CX46" s="42">
        <f t="shared" si="90"/>
        <v>1289412.8900000001</v>
      </c>
      <c r="CY46" s="42">
        <f t="shared" si="90"/>
        <v>65239.82</v>
      </c>
      <c r="CZ46" s="42">
        <f t="shared" si="90"/>
        <v>1354652.71</v>
      </c>
      <c r="DA46" s="42">
        <f t="shared" si="90"/>
        <v>0</v>
      </c>
      <c r="DB46" s="42">
        <f t="shared" si="90"/>
        <v>0</v>
      </c>
      <c r="DC46" s="42">
        <f t="shared" si="90"/>
        <v>0</v>
      </c>
      <c r="DD46" s="42">
        <f t="shared" si="90"/>
        <v>0</v>
      </c>
      <c r="DE46" s="42">
        <f t="shared" si="90"/>
        <v>0</v>
      </c>
      <c r="DF46" s="42">
        <f t="shared" si="90"/>
        <v>0</v>
      </c>
      <c r="DG46" s="42">
        <f t="shared" si="90"/>
        <v>0</v>
      </c>
      <c r="DH46" s="42">
        <f t="shared" si="90"/>
        <v>0</v>
      </c>
      <c r="DI46" s="42">
        <f t="shared" si="90"/>
        <v>0</v>
      </c>
      <c r="DJ46" s="42">
        <f t="shared" si="90"/>
        <v>0</v>
      </c>
      <c r="DK46" s="42">
        <f t="shared" si="90"/>
        <v>0</v>
      </c>
      <c r="DL46" s="42">
        <f t="shared" si="90"/>
        <v>0</v>
      </c>
      <c r="DM46" s="42">
        <f t="shared" si="90"/>
        <v>12905914.24</v>
      </c>
      <c r="DN46" s="42">
        <f t="shared" si="90"/>
        <v>4491249.0299999993</v>
      </c>
      <c r="DO46" s="42">
        <f t="shared" si="90"/>
        <v>4976901.8599999994</v>
      </c>
      <c r="DP46" s="42">
        <f t="shared" si="90"/>
        <v>0</v>
      </c>
      <c r="DQ46" s="42">
        <f t="shared" si="90"/>
        <v>77004690.969999999</v>
      </c>
      <c r="DR46" s="42">
        <f t="shared" si="90"/>
        <v>76519038.140000001</v>
      </c>
      <c r="DS46" s="21">
        <f>DN46/AG46</f>
        <v>5.4975180284356842E-2</v>
      </c>
      <c r="DT46" s="21">
        <f>DO46/AG46</f>
        <v>6.0919818781692205E-2</v>
      </c>
      <c r="DU46" s="21"/>
      <c r="DV46" s="21"/>
      <c r="DW46" s="42">
        <f>SUM(DW17:DW45)</f>
        <v>0</v>
      </c>
      <c r="DX46" s="42"/>
      <c r="DY46" s="109"/>
    </row>
    <row r="47" spans="1:129" s="1" customFormat="1" ht="15.75" customHeight="1" thickTop="1">
      <c r="A47" s="10"/>
      <c r="B47" s="12"/>
      <c r="C47" s="10"/>
      <c r="D47" s="12"/>
      <c r="E47" s="3"/>
      <c r="F47" s="406"/>
      <c r="G47" s="406"/>
      <c r="H47" s="406"/>
      <c r="I47" s="9"/>
      <c r="J47" s="10"/>
      <c r="K47" s="3"/>
      <c r="L47" s="3"/>
      <c r="M47" s="45"/>
      <c r="N47" s="3"/>
      <c r="O47" s="3"/>
      <c r="P47" s="3"/>
      <c r="Q47" s="3"/>
      <c r="R47" s="3"/>
      <c r="S47" s="3"/>
      <c r="T47" s="12"/>
      <c r="U47" s="12"/>
      <c r="V47" s="12"/>
      <c r="W47" s="12"/>
      <c r="X47" s="12"/>
      <c r="Y47" s="13"/>
      <c r="Z47" s="25"/>
      <c r="AA47" s="10"/>
      <c r="AB47" s="12"/>
      <c r="AC47" s="36"/>
      <c r="AD47" s="36"/>
      <c r="AE47" s="7"/>
      <c r="AF47" s="33"/>
      <c r="AG47" s="33"/>
      <c r="AH47" s="33"/>
      <c r="AI47" s="33"/>
      <c r="AJ47" s="472"/>
      <c r="AK47" s="27"/>
      <c r="AL47" s="36"/>
      <c r="AM47" s="36"/>
      <c r="AN47" s="7"/>
      <c r="AO47" s="36"/>
      <c r="AP47" s="36"/>
      <c r="AQ47" s="7"/>
      <c r="AR47" s="36"/>
      <c r="AS47" s="36"/>
      <c r="AT47" s="7"/>
      <c r="AU47" s="33"/>
      <c r="AV47" s="33"/>
      <c r="AW47" s="7"/>
      <c r="AX47" s="33"/>
      <c r="AY47" s="33"/>
      <c r="AZ47" s="7"/>
      <c r="BA47" s="33"/>
      <c r="BB47" s="33"/>
      <c r="BC47" s="7"/>
      <c r="BD47" s="33"/>
      <c r="BE47" s="33"/>
      <c r="BF47" s="7"/>
      <c r="BG47" s="33"/>
      <c r="BH47" s="33"/>
      <c r="BI47" s="7"/>
      <c r="BJ47" s="33"/>
      <c r="BK47" s="33"/>
      <c r="BL47" s="7"/>
      <c r="BM47" s="33"/>
      <c r="BN47" s="33"/>
      <c r="BO47" s="7"/>
      <c r="BP47" s="33"/>
      <c r="BQ47" s="33"/>
      <c r="BR47" s="7"/>
      <c r="BS47" s="33"/>
      <c r="BT47" s="33"/>
      <c r="BU47" s="7"/>
      <c r="BV47" s="33"/>
      <c r="BW47" s="7"/>
      <c r="BX47" s="7"/>
      <c r="BY47" s="33"/>
      <c r="BZ47" s="7"/>
      <c r="CA47" s="7"/>
      <c r="CB47" s="15"/>
      <c r="CC47" s="15"/>
      <c r="CD47" s="490"/>
      <c r="CE47" s="36"/>
      <c r="CF47" s="33"/>
      <c r="CG47" s="33"/>
      <c r="CH47" s="33"/>
      <c r="CI47" s="36"/>
      <c r="CJ47" s="7"/>
      <c r="CK47" s="36"/>
      <c r="CL47" s="7"/>
      <c r="CM47" s="36"/>
      <c r="CN47" s="36"/>
      <c r="CO47" s="7"/>
      <c r="CP47" s="7"/>
      <c r="CQ47" s="7"/>
      <c r="CR47" s="36"/>
      <c r="CS47" s="36"/>
      <c r="CT47" s="7"/>
      <c r="CU47" s="36"/>
      <c r="CV47" s="36"/>
      <c r="CW47" s="7"/>
      <c r="CX47" s="36"/>
      <c r="CY47" s="36"/>
      <c r="CZ47" s="7"/>
      <c r="DA47" s="36"/>
      <c r="DB47" s="7">
        <f>DA47</f>
        <v>0</v>
      </c>
      <c r="DC47" s="36"/>
      <c r="DD47" s="7">
        <f>DC47</f>
        <v>0</v>
      </c>
      <c r="DE47" s="36"/>
      <c r="DF47" s="7">
        <f>DE47</f>
        <v>0</v>
      </c>
      <c r="DG47" s="36"/>
      <c r="DH47" s="7">
        <f>DG47</f>
        <v>0</v>
      </c>
      <c r="DI47" s="36"/>
      <c r="DJ47" s="7">
        <f>DI47</f>
        <v>0</v>
      </c>
      <c r="DK47" s="36"/>
      <c r="DL47" s="7">
        <f>DK47</f>
        <v>0</v>
      </c>
      <c r="DM47" s="36"/>
      <c r="DN47" s="14"/>
      <c r="DO47" s="14"/>
      <c r="DP47" s="7"/>
      <c r="DQ47" s="7"/>
      <c r="DR47" s="7"/>
      <c r="DS47" s="15"/>
      <c r="DT47" s="15"/>
      <c r="DU47" s="300"/>
      <c r="DV47" s="300"/>
      <c r="DW47" s="33"/>
      <c r="DX47" s="36"/>
      <c r="DY47" s="109"/>
    </row>
    <row r="48" spans="1:129" s="1" customFormat="1" ht="15.75" customHeight="1">
      <c r="A48" s="22" t="s">
        <v>109</v>
      </c>
      <c r="B48" s="23"/>
      <c r="C48" s="22"/>
      <c r="D48" s="23"/>
      <c r="E48" s="3"/>
      <c r="F48" s="406"/>
      <c r="G48" s="406"/>
      <c r="H48" s="406"/>
      <c r="I48" s="9"/>
      <c r="J48" s="10"/>
      <c r="K48" s="3"/>
      <c r="L48" s="3"/>
      <c r="M48" s="45"/>
      <c r="N48" s="3"/>
      <c r="O48" s="3"/>
      <c r="P48" s="3"/>
      <c r="Q48" s="3"/>
      <c r="R48" s="3"/>
      <c r="S48" s="3"/>
      <c r="T48" s="12"/>
      <c r="U48" s="12"/>
      <c r="V48" s="12"/>
      <c r="W48" s="12"/>
      <c r="X48" s="12"/>
      <c r="Y48" s="13"/>
      <c r="Z48" s="25"/>
      <c r="AA48" s="22" t="s">
        <v>109</v>
      </c>
      <c r="AB48" s="12"/>
      <c r="AC48" s="36"/>
      <c r="AD48" s="36"/>
      <c r="AE48" s="7"/>
      <c r="AF48" s="33"/>
      <c r="AG48" s="33"/>
      <c r="AH48" s="33"/>
      <c r="AI48" s="33"/>
      <c r="AJ48" s="472"/>
      <c r="AK48" s="27"/>
      <c r="AL48" s="36"/>
      <c r="AM48" s="36"/>
      <c r="AN48" s="7"/>
      <c r="AO48" s="36"/>
      <c r="AP48" s="36"/>
      <c r="AQ48" s="7"/>
      <c r="AR48" s="36"/>
      <c r="AS48" s="36"/>
      <c r="AT48" s="7"/>
      <c r="AU48" s="33"/>
      <c r="AV48" s="33"/>
      <c r="AW48" s="7"/>
      <c r="AX48" s="33"/>
      <c r="AY48" s="33"/>
      <c r="AZ48" s="7"/>
      <c r="BA48" s="33"/>
      <c r="BB48" s="33"/>
      <c r="BC48" s="7"/>
      <c r="BD48" s="33"/>
      <c r="BE48" s="33"/>
      <c r="BF48" s="7"/>
      <c r="BG48" s="33"/>
      <c r="BH48" s="33"/>
      <c r="BI48" s="7"/>
      <c r="BJ48" s="33"/>
      <c r="BK48" s="33"/>
      <c r="BL48" s="7"/>
      <c r="BM48" s="33"/>
      <c r="BN48" s="33"/>
      <c r="BO48" s="7"/>
      <c r="BP48" s="33"/>
      <c r="BQ48" s="33"/>
      <c r="BR48" s="7"/>
      <c r="BS48" s="33"/>
      <c r="BT48" s="33"/>
      <c r="BU48" s="7"/>
      <c r="BV48" s="33"/>
      <c r="BW48" s="7"/>
      <c r="BX48" s="7"/>
      <c r="BY48" s="33"/>
      <c r="BZ48" s="7"/>
      <c r="CA48" s="7"/>
      <c r="CB48" s="15"/>
      <c r="CC48" s="15"/>
      <c r="CD48" s="490"/>
      <c r="CE48" s="36"/>
      <c r="CF48" s="33"/>
      <c r="CG48" s="33"/>
      <c r="CH48" s="33"/>
      <c r="CI48" s="36"/>
      <c r="CJ48" s="7"/>
      <c r="CK48" s="36"/>
      <c r="CL48" s="7"/>
      <c r="CM48" s="36"/>
      <c r="CN48" s="36"/>
      <c r="CO48" s="7"/>
      <c r="CP48" s="7"/>
      <c r="CQ48" s="7"/>
      <c r="CR48" s="36"/>
      <c r="CS48" s="36"/>
      <c r="CT48" s="7"/>
      <c r="CU48" s="36"/>
      <c r="CV48" s="36"/>
      <c r="CW48" s="7"/>
      <c r="CX48" s="36"/>
      <c r="CY48" s="36"/>
      <c r="CZ48" s="7"/>
      <c r="DA48" s="36"/>
      <c r="DB48" s="7">
        <f>DA48</f>
        <v>0</v>
      </c>
      <c r="DC48" s="36"/>
      <c r="DD48" s="7">
        <f>DC48</f>
        <v>0</v>
      </c>
      <c r="DE48" s="36"/>
      <c r="DF48" s="7">
        <f>DE48</f>
        <v>0</v>
      </c>
      <c r="DG48" s="36"/>
      <c r="DH48" s="7">
        <f>DG48</f>
        <v>0</v>
      </c>
      <c r="DI48" s="36"/>
      <c r="DJ48" s="7">
        <f>DI48</f>
        <v>0</v>
      </c>
      <c r="DK48" s="36"/>
      <c r="DL48" s="7">
        <f>DK48</f>
        <v>0</v>
      </c>
      <c r="DM48" s="36"/>
      <c r="DN48" s="14"/>
      <c r="DO48" s="14"/>
      <c r="DP48" s="7"/>
      <c r="DQ48" s="7"/>
      <c r="DR48" s="7"/>
      <c r="DS48" s="15"/>
      <c r="DT48" s="15"/>
      <c r="DU48" s="300"/>
      <c r="DV48" s="300"/>
      <c r="DW48" s="33"/>
      <c r="DX48" s="36"/>
      <c r="DY48" s="109"/>
    </row>
    <row r="49" spans="1:129" s="1" customFormat="1" ht="15.75" customHeight="1">
      <c r="A49" s="10" t="s">
        <v>101</v>
      </c>
      <c r="B49" s="43"/>
      <c r="C49" s="8" t="s">
        <v>645</v>
      </c>
      <c r="D49" s="43"/>
      <c r="E49" s="3">
        <v>305005</v>
      </c>
      <c r="F49" s="406">
        <v>4</v>
      </c>
      <c r="G49" s="412" t="s">
        <v>187</v>
      </c>
      <c r="H49" s="406">
        <v>1505</v>
      </c>
      <c r="I49" s="9" t="s">
        <v>246</v>
      </c>
      <c r="J49" s="10" t="s">
        <v>72</v>
      </c>
      <c r="K49" s="3">
        <v>4</v>
      </c>
      <c r="L49" s="11" t="s">
        <v>187</v>
      </c>
      <c r="M49" s="45"/>
      <c r="N49" s="11" t="s">
        <v>186</v>
      </c>
      <c r="O49" s="11" t="s">
        <v>582</v>
      </c>
      <c r="P49" s="11" t="s">
        <v>187</v>
      </c>
      <c r="Q49" s="11" t="s">
        <v>187</v>
      </c>
      <c r="R49" s="3">
        <v>270</v>
      </c>
      <c r="S49" s="3" t="s">
        <v>188</v>
      </c>
      <c r="T49" s="12" t="s">
        <v>26</v>
      </c>
      <c r="U49" s="12" t="s">
        <v>222</v>
      </c>
      <c r="V49" s="12"/>
      <c r="W49" s="12" t="s">
        <v>5</v>
      </c>
      <c r="X49" s="12"/>
      <c r="Y49" s="13" t="s">
        <v>100</v>
      </c>
      <c r="Z49" s="25" t="s">
        <v>92</v>
      </c>
      <c r="AA49" s="9" t="s">
        <v>293</v>
      </c>
      <c r="AB49" s="12" t="s">
        <v>8</v>
      </c>
      <c r="AC49" s="36"/>
      <c r="AD49" s="36"/>
      <c r="AE49" s="7"/>
      <c r="AF49" s="33"/>
      <c r="AG49" s="33">
        <f>AE49+AF49</f>
        <v>0</v>
      </c>
      <c r="AH49" s="33"/>
      <c r="AI49" s="7">
        <f>+AG49+AH49</f>
        <v>0</v>
      </c>
      <c r="AJ49" s="472"/>
      <c r="AK49" s="27">
        <v>500000</v>
      </c>
      <c r="AL49" s="36">
        <v>19074.32</v>
      </c>
      <c r="AM49" s="36">
        <v>0</v>
      </c>
      <c r="AN49" s="7">
        <f t="shared" si="4"/>
        <v>19074.32</v>
      </c>
      <c r="AO49" s="36"/>
      <c r="AP49" s="36"/>
      <c r="AQ49" s="7">
        <f t="shared" si="5"/>
        <v>0</v>
      </c>
      <c r="AR49" s="36"/>
      <c r="AS49" s="36"/>
      <c r="AT49" s="7">
        <f t="shared" si="6"/>
        <v>0</v>
      </c>
      <c r="AU49" s="7"/>
      <c r="AV49" s="7"/>
      <c r="AW49" s="7">
        <f t="shared" si="7"/>
        <v>0</v>
      </c>
      <c r="AX49" s="7"/>
      <c r="AY49" s="7"/>
      <c r="AZ49" s="7">
        <f t="shared" si="8"/>
        <v>0</v>
      </c>
      <c r="BA49" s="7"/>
      <c r="BB49" s="7"/>
      <c r="BC49" s="7">
        <f t="shared" si="9"/>
        <v>0</v>
      </c>
      <c r="BD49" s="7"/>
      <c r="BE49" s="7"/>
      <c r="BF49" s="7">
        <f t="shared" si="10"/>
        <v>0</v>
      </c>
      <c r="BG49" s="7"/>
      <c r="BH49" s="7"/>
      <c r="BI49" s="7">
        <f t="shared" si="11"/>
        <v>0</v>
      </c>
      <c r="BJ49" s="7"/>
      <c r="BK49" s="7"/>
      <c r="BL49" s="7">
        <f t="shared" si="12"/>
        <v>0</v>
      </c>
      <c r="BM49" s="7"/>
      <c r="BN49" s="7"/>
      <c r="BO49" s="7">
        <f t="shared" si="13"/>
        <v>0</v>
      </c>
      <c r="BP49" s="7"/>
      <c r="BQ49" s="7"/>
      <c r="BR49" s="7">
        <f t="shared" si="14"/>
        <v>0</v>
      </c>
      <c r="BS49" s="7"/>
      <c r="BT49" s="7"/>
      <c r="BU49" s="7">
        <f t="shared" si="15"/>
        <v>0</v>
      </c>
      <c r="BV49" s="7">
        <v>0</v>
      </c>
      <c r="BW49" s="7">
        <f t="shared" si="16"/>
        <v>19074.32</v>
      </c>
      <c r="BX49" s="7">
        <f t="shared" si="17"/>
        <v>19074.32</v>
      </c>
      <c r="BY49" s="7"/>
      <c r="BZ49" s="7">
        <f t="shared" si="18"/>
        <v>480925.68</v>
      </c>
      <c r="CA49" s="7">
        <f t="shared" si="19"/>
        <v>480925.68</v>
      </c>
      <c r="CB49" s="15">
        <f t="shared" si="2"/>
        <v>3.8148639999999998E-2</v>
      </c>
      <c r="CC49" s="15">
        <f t="shared" si="3"/>
        <v>3.8148639999999998E-2</v>
      </c>
      <c r="CD49" s="489" t="s">
        <v>772</v>
      </c>
      <c r="CE49" s="27">
        <v>500000</v>
      </c>
      <c r="CF49" s="33">
        <v>500000</v>
      </c>
      <c r="CG49" s="33"/>
      <c r="CH49" s="33"/>
      <c r="CI49" s="36"/>
      <c r="CJ49" s="7"/>
      <c r="CK49" s="36"/>
      <c r="CL49" s="7"/>
      <c r="CM49" s="36"/>
      <c r="CN49" s="36"/>
      <c r="CO49" s="7"/>
      <c r="CP49" s="7"/>
      <c r="CQ49" s="7"/>
      <c r="CR49" s="36"/>
      <c r="CS49" s="36"/>
      <c r="CT49" s="7"/>
      <c r="CU49" s="36"/>
      <c r="CV49" s="36"/>
      <c r="CW49" s="7"/>
      <c r="CX49" s="36"/>
      <c r="CY49" s="36"/>
      <c r="CZ49" s="7"/>
      <c r="DA49" s="36"/>
      <c r="DB49" s="7"/>
      <c r="DC49" s="36"/>
      <c r="DD49" s="7"/>
      <c r="DE49" s="36"/>
      <c r="DF49" s="7"/>
      <c r="DG49" s="36"/>
      <c r="DH49" s="7"/>
      <c r="DI49" s="36"/>
      <c r="DJ49" s="7"/>
      <c r="DK49" s="36"/>
      <c r="DL49" s="7"/>
      <c r="DM49" s="36"/>
      <c r="DN49" s="14"/>
      <c r="DO49" s="14"/>
      <c r="DP49" s="7"/>
      <c r="DQ49" s="7"/>
      <c r="DR49" s="7"/>
      <c r="DS49" s="15"/>
      <c r="DT49" s="15"/>
      <c r="DU49" s="300"/>
      <c r="DV49" s="300"/>
      <c r="DW49" s="33"/>
      <c r="DX49" s="36"/>
      <c r="DY49" s="109"/>
    </row>
    <row r="50" spans="1:129" s="1" customFormat="1" ht="18" customHeight="1">
      <c r="A50" s="10" t="s">
        <v>101</v>
      </c>
      <c r="B50" s="24"/>
      <c r="C50" s="8" t="s">
        <v>646</v>
      </c>
      <c r="D50" s="24"/>
      <c r="E50" s="3">
        <v>330010</v>
      </c>
      <c r="F50" s="406">
        <v>4</v>
      </c>
      <c r="G50" s="412" t="s">
        <v>187</v>
      </c>
      <c r="H50" s="406">
        <v>1507</v>
      </c>
      <c r="I50" s="9" t="s">
        <v>246</v>
      </c>
      <c r="J50" s="10" t="s">
        <v>72</v>
      </c>
      <c r="K50" s="3">
        <v>4</v>
      </c>
      <c r="L50" s="11" t="s">
        <v>187</v>
      </c>
      <c r="M50" s="45"/>
      <c r="N50" s="11" t="s">
        <v>186</v>
      </c>
      <c r="O50" s="11" t="s">
        <v>582</v>
      </c>
      <c r="P50" s="11" t="s">
        <v>187</v>
      </c>
      <c r="Q50" s="11" t="s">
        <v>187</v>
      </c>
      <c r="R50" s="3">
        <v>270</v>
      </c>
      <c r="S50" s="3" t="s">
        <v>188</v>
      </c>
      <c r="T50" s="12" t="s">
        <v>26</v>
      </c>
      <c r="U50" s="12" t="s">
        <v>222</v>
      </c>
      <c r="V50" s="12"/>
      <c r="W50" s="12" t="s">
        <v>5</v>
      </c>
      <c r="X50" s="12"/>
      <c r="Y50" s="13" t="s">
        <v>100</v>
      </c>
      <c r="Z50" s="25" t="s">
        <v>92</v>
      </c>
      <c r="AA50" s="10" t="s">
        <v>522</v>
      </c>
      <c r="AB50" s="12" t="s">
        <v>8</v>
      </c>
      <c r="AC50" s="27"/>
      <c r="AD50" s="36"/>
      <c r="AE50" s="7"/>
      <c r="AF50" s="33"/>
      <c r="AG50" s="33">
        <f>AE50+AF50</f>
        <v>0</v>
      </c>
      <c r="AH50" s="33"/>
      <c r="AI50" s="7">
        <f>+AG50+AH50</f>
        <v>0</v>
      </c>
      <c r="AJ50" s="472"/>
      <c r="AK50" s="7">
        <v>350000</v>
      </c>
      <c r="AL50" s="33">
        <v>0</v>
      </c>
      <c r="AM50" s="33">
        <v>0</v>
      </c>
      <c r="AN50" s="7">
        <f t="shared" si="4"/>
        <v>0</v>
      </c>
      <c r="AO50" s="33"/>
      <c r="AP50" s="33"/>
      <c r="AQ50" s="7">
        <f t="shared" si="5"/>
        <v>0</v>
      </c>
      <c r="AR50" s="33"/>
      <c r="AS50" s="33"/>
      <c r="AT50" s="7">
        <f t="shared" si="6"/>
        <v>0</v>
      </c>
      <c r="AU50" s="7"/>
      <c r="AV50" s="7"/>
      <c r="AW50" s="7">
        <f t="shared" si="7"/>
        <v>0</v>
      </c>
      <c r="AX50" s="7"/>
      <c r="AY50" s="7"/>
      <c r="AZ50" s="7">
        <f t="shared" si="8"/>
        <v>0</v>
      </c>
      <c r="BA50" s="7"/>
      <c r="BB50" s="7"/>
      <c r="BC50" s="7">
        <f t="shared" si="9"/>
        <v>0</v>
      </c>
      <c r="BD50" s="7"/>
      <c r="BE50" s="7"/>
      <c r="BF50" s="7">
        <f t="shared" si="10"/>
        <v>0</v>
      </c>
      <c r="BG50" s="7"/>
      <c r="BH50" s="7"/>
      <c r="BI50" s="7">
        <f t="shared" si="11"/>
        <v>0</v>
      </c>
      <c r="BJ50" s="7"/>
      <c r="BK50" s="7"/>
      <c r="BL50" s="7">
        <f t="shared" si="12"/>
        <v>0</v>
      </c>
      <c r="BM50" s="7"/>
      <c r="BN50" s="7"/>
      <c r="BO50" s="7">
        <f t="shared" si="13"/>
        <v>0</v>
      </c>
      <c r="BP50" s="7"/>
      <c r="BQ50" s="7"/>
      <c r="BR50" s="7">
        <f t="shared" si="14"/>
        <v>0</v>
      </c>
      <c r="BS50" s="7"/>
      <c r="BT50" s="7"/>
      <c r="BU50" s="7">
        <f t="shared" si="15"/>
        <v>0</v>
      </c>
      <c r="BV50" s="7">
        <v>0</v>
      </c>
      <c r="BW50" s="7">
        <f t="shared" si="16"/>
        <v>0</v>
      </c>
      <c r="BX50" s="7">
        <f t="shared" si="17"/>
        <v>0</v>
      </c>
      <c r="BY50" s="7"/>
      <c r="BZ50" s="7">
        <f t="shared" si="18"/>
        <v>350000</v>
      </c>
      <c r="CA50" s="7">
        <f t="shared" si="19"/>
        <v>350000</v>
      </c>
      <c r="CB50" s="15">
        <f t="shared" si="2"/>
        <v>0</v>
      </c>
      <c r="CC50" s="15">
        <f t="shared" si="3"/>
        <v>0</v>
      </c>
      <c r="CD50" s="489" t="s">
        <v>744</v>
      </c>
      <c r="CE50" s="27">
        <f>300000-300000</f>
        <v>0</v>
      </c>
      <c r="CF50" s="33">
        <v>0</v>
      </c>
      <c r="CG50" s="33"/>
      <c r="CH50" s="33"/>
      <c r="CI50" s="36"/>
      <c r="CJ50" s="7"/>
      <c r="CK50" s="36"/>
      <c r="CL50" s="7"/>
      <c r="CM50" s="36"/>
      <c r="CN50" s="36"/>
      <c r="CO50" s="7"/>
      <c r="CP50" s="7"/>
      <c r="CQ50" s="7"/>
      <c r="CR50" s="36"/>
      <c r="CS50" s="36"/>
      <c r="CT50" s="7"/>
      <c r="CU50" s="36"/>
      <c r="CV50" s="36"/>
      <c r="CW50" s="7"/>
      <c r="CX50" s="36"/>
      <c r="CY50" s="36"/>
      <c r="CZ50" s="7"/>
      <c r="DA50" s="36"/>
      <c r="DB50" s="7"/>
      <c r="DC50" s="36"/>
      <c r="DD50" s="7"/>
      <c r="DE50" s="36"/>
      <c r="DF50" s="7"/>
      <c r="DG50" s="36"/>
      <c r="DH50" s="7"/>
      <c r="DI50" s="36"/>
      <c r="DJ50" s="7"/>
      <c r="DK50" s="36"/>
      <c r="DL50" s="7"/>
      <c r="DM50" s="36"/>
      <c r="DN50" s="14"/>
      <c r="DO50" s="14"/>
      <c r="DP50" s="7"/>
      <c r="DQ50" s="7"/>
      <c r="DR50" s="7"/>
      <c r="DS50" s="15"/>
      <c r="DT50" s="15"/>
      <c r="DU50" s="15"/>
      <c r="DV50" s="15"/>
      <c r="DW50" s="7"/>
      <c r="DX50" s="27"/>
      <c r="DY50" s="109"/>
    </row>
    <row r="51" spans="1:129" s="1" customFormat="1" ht="15" customHeight="1">
      <c r="A51" s="10" t="s">
        <v>101</v>
      </c>
      <c r="B51" s="24"/>
      <c r="C51" s="8" t="s">
        <v>627</v>
      </c>
      <c r="D51" s="24"/>
      <c r="E51" s="3">
        <v>320005</v>
      </c>
      <c r="F51" s="406">
        <v>5</v>
      </c>
      <c r="G51" s="412" t="s">
        <v>186</v>
      </c>
      <c r="H51" s="406">
        <v>1501</v>
      </c>
      <c r="I51" s="9" t="s">
        <v>246</v>
      </c>
      <c r="J51" s="10" t="s">
        <v>72</v>
      </c>
      <c r="K51" s="3">
        <v>4</v>
      </c>
      <c r="L51" s="11" t="s">
        <v>187</v>
      </c>
      <c r="M51" s="45"/>
      <c r="N51" s="11" t="s">
        <v>186</v>
      </c>
      <c r="O51" s="11" t="s">
        <v>582</v>
      </c>
      <c r="P51" s="11" t="s">
        <v>187</v>
      </c>
      <c r="Q51" s="11" t="s">
        <v>187</v>
      </c>
      <c r="R51" s="3">
        <v>270</v>
      </c>
      <c r="S51" s="3" t="s">
        <v>188</v>
      </c>
      <c r="T51" s="12" t="s">
        <v>26</v>
      </c>
      <c r="U51" s="12" t="s">
        <v>222</v>
      </c>
      <c r="V51" s="12"/>
      <c r="W51" s="12" t="s">
        <v>5</v>
      </c>
      <c r="X51" s="12"/>
      <c r="Y51" s="13" t="s">
        <v>100</v>
      </c>
      <c r="Z51" s="25" t="s">
        <v>92</v>
      </c>
      <c r="AA51" s="10" t="s">
        <v>436</v>
      </c>
      <c r="AB51" s="12" t="s">
        <v>8</v>
      </c>
      <c r="AC51" s="27"/>
      <c r="AD51" s="36"/>
      <c r="AE51" s="7"/>
      <c r="AF51" s="33"/>
      <c r="AG51" s="33"/>
      <c r="AH51" s="33"/>
      <c r="AI51" s="7"/>
      <c r="AJ51" s="472"/>
      <c r="AK51" s="27">
        <v>10000000</v>
      </c>
      <c r="AL51" s="36">
        <v>0</v>
      </c>
      <c r="AM51" s="36">
        <v>0</v>
      </c>
      <c r="AN51" s="7">
        <f t="shared" si="4"/>
        <v>0</v>
      </c>
      <c r="AO51" s="36"/>
      <c r="AP51" s="36"/>
      <c r="AQ51" s="7">
        <f t="shared" si="5"/>
        <v>0</v>
      </c>
      <c r="AR51" s="36"/>
      <c r="AS51" s="36"/>
      <c r="AT51" s="7">
        <f t="shared" si="6"/>
        <v>0</v>
      </c>
      <c r="AU51" s="33"/>
      <c r="AV51" s="33"/>
      <c r="AW51" s="7">
        <f t="shared" si="7"/>
        <v>0</v>
      </c>
      <c r="AX51" s="33"/>
      <c r="AY51" s="33"/>
      <c r="AZ51" s="7">
        <f t="shared" si="8"/>
        <v>0</v>
      </c>
      <c r="BA51" s="33"/>
      <c r="BB51" s="33"/>
      <c r="BC51" s="7">
        <f t="shared" si="9"/>
        <v>0</v>
      </c>
      <c r="BD51" s="33"/>
      <c r="BE51" s="33"/>
      <c r="BF51" s="7">
        <f t="shared" si="10"/>
        <v>0</v>
      </c>
      <c r="BG51" s="33"/>
      <c r="BH51" s="33"/>
      <c r="BI51" s="7">
        <f t="shared" si="11"/>
        <v>0</v>
      </c>
      <c r="BJ51" s="33"/>
      <c r="BK51" s="33"/>
      <c r="BL51" s="7">
        <f t="shared" si="12"/>
        <v>0</v>
      </c>
      <c r="BM51" s="33"/>
      <c r="BN51" s="33"/>
      <c r="BO51" s="7">
        <f t="shared" si="13"/>
        <v>0</v>
      </c>
      <c r="BP51" s="33"/>
      <c r="BQ51" s="33"/>
      <c r="BR51" s="7">
        <f t="shared" si="14"/>
        <v>0</v>
      </c>
      <c r="BS51" s="33"/>
      <c r="BT51" s="33"/>
      <c r="BU51" s="7">
        <f t="shared" si="15"/>
        <v>0</v>
      </c>
      <c r="BV51" s="33">
        <v>0</v>
      </c>
      <c r="BW51" s="7">
        <f t="shared" si="16"/>
        <v>0</v>
      </c>
      <c r="BX51" s="7">
        <f t="shared" si="17"/>
        <v>0</v>
      </c>
      <c r="BY51" s="33"/>
      <c r="BZ51" s="7">
        <f t="shared" si="18"/>
        <v>10000000</v>
      </c>
      <c r="CA51" s="7">
        <f t="shared" si="19"/>
        <v>10000000</v>
      </c>
      <c r="CB51" s="15">
        <f t="shared" si="2"/>
        <v>0</v>
      </c>
      <c r="CC51" s="15">
        <f t="shared" si="3"/>
        <v>0</v>
      </c>
      <c r="CD51" s="490" t="s">
        <v>718</v>
      </c>
      <c r="CE51" s="36">
        <v>10000000</v>
      </c>
      <c r="CF51" s="36">
        <v>10000000</v>
      </c>
      <c r="CG51" s="36"/>
      <c r="CH51" s="36"/>
      <c r="CI51" s="36"/>
      <c r="CJ51" s="7"/>
      <c r="CK51" s="36"/>
      <c r="CL51" s="7"/>
      <c r="CM51" s="36"/>
      <c r="CN51" s="36"/>
      <c r="CO51" s="7"/>
      <c r="CP51" s="7"/>
      <c r="CQ51" s="7"/>
      <c r="CR51" s="36"/>
      <c r="CS51" s="36"/>
      <c r="CT51" s="7"/>
      <c r="CU51" s="36"/>
      <c r="CV51" s="36"/>
      <c r="CW51" s="7"/>
      <c r="CX51" s="36"/>
      <c r="CY51" s="36"/>
      <c r="CZ51" s="7"/>
      <c r="DA51" s="36"/>
      <c r="DB51" s="7"/>
      <c r="DC51" s="36"/>
      <c r="DD51" s="7"/>
      <c r="DE51" s="36"/>
      <c r="DF51" s="7"/>
      <c r="DG51" s="36"/>
      <c r="DH51" s="7"/>
      <c r="DI51" s="36"/>
      <c r="DJ51" s="7"/>
      <c r="DK51" s="36"/>
      <c r="DL51" s="7"/>
      <c r="DM51" s="36"/>
      <c r="DN51" s="14"/>
      <c r="DO51" s="14"/>
      <c r="DP51" s="7"/>
      <c r="DQ51" s="7"/>
      <c r="DR51" s="7"/>
      <c r="DS51" s="15"/>
      <c r="DT51" s="15"/>
      <c r="DU51" s="15"/>
      <c r="DV51" s="15"/>
      <c r="DW51" s="7"/>
      <c r="DX51" s="27"/>
      <c r="DY51" s="109"/>
    </row>
    <row r="52" spans="1:129" s="1" customFormat="1" ht="30.75" customHeight="1">
      <c r="A52" s="10" t="s">
        <v>101</v>
      </c>
      <c r="B52" s="24"/>
      <c r="C52" s="8" t="s">
        <v>647</v>
      </c>
      <c r="D52" s="24"/>
      <c r="E52" s="3">
        <v>330020</v>
      </c>
      <c r="F52" s="406">
        <v>4</v>
      </c>
      <c r="G52" s="412" t="s">
        <v>187</v>
      </c>
      <c r="H52" s="406">
        <v>1508</v>
      </c>
      <c r="I52" s="9" t="s">
        <v>246</v>
      </c>
      <c r="J52" s="10" t="s">
        <v>72</v>
      </c>
      <c r="K52" s="3">
        <v>4</v>
      </c>
      <c r="L52" s="11" t="s">
        <v>187</v>
      </c>
      <c r="M52" s="45"/>
      <c r="N52" s="11" t="s">
        <v>186</v>
      </c>
      <c r="O52" s="11" t="s">
        <v>582</v>
      </c>
      <c r="P52" s="11" t="s">
        <v>187</v>
      </c>
      <c r="Q52" s="11" t="s">
        <v>187</v>
      </c>
      <c r="R52" s="3">
        <v>260</v>
      </c>
      <c r="S52" s="3" t="s">
        <v>188</v>
      </c>
      <c r="T52" s="12" t="s">
        <v>260</v>
      </c>
      <c r="U52" s="12" t="s">
        <v>222</v>
      </c>
      <c r="V52" s="12"/>
      <c r="W52" s="12"/>
      <c r="X52" s="12"/>
      <c r="Y52" s="13" t="s">
        <v>100</v>
      </c>
      <c r="Z52" s="25" t="s">
        <v>92</v>
      </c>
      <c r="AA52" s="10" t="s">
        <v>523</v>
      </c>
      <c r="AB52" s="12" t="s">
        <v>8</v>
      </c>
      <c r="AC52" s="27"/>
      <c r="AD52" s="36"/>
      <c r="AE52" s="7"/>
      <c r="AF52" s="33"/>
      <c r="AG52" s="33"/>
      <c r="AH52" s="33"/>
      <c r="AI52" s="7"/>
      <c r="AJ52" s="472"/>
      <c r="AK52" s="27">
        <v>1500000</v>
      </c>
      <c r="AL52" s="36">
        <v>0</v>
      </c>
      <c r="AM52" s="36">
        <v>0</v>
      </c>
      <c r="AN52" s="7">
        <f t="shared" si="4"/>
        <v>0</v>
      </c>
      <c r="AO52" s="36"/>
      <c r="AP52" s="36"/>
      <c r="AQ52" s="7">
        <f t="shared" si="5"/>
        <v>0</v>
      </c>
      <c r="AR52" s="36"/>
      <c r="AS52" s="36"/>
      <c r="AT52" s="7">
        <f t="shared" si="6"/>
        <v>0</v>
      </c>
      <c r="AU52" s="33"/>
      <c r="AV52" s="33"/>
      <c r="AW52" s="7">
        <f t="shared" si="7"/>
        <v>0</v>
      </c>
      <c r="AX52" s="33"/>
      <c r="AY52" s="33"/>
      <c r="AZ52" s="7">
        <f t="shared" si="8"/>
        <v>0</v>
      </c>
      <c r="BA52" s="33"/>
      <c r="BB52" s="33"/>
      <c r="BC52" s="7">
        <f t="shared" si="9"/>
        <v>0</v>
      </c>
      <c r="BD52" s="33"/>
      <c r="BE52" s="33"/>
      <c r="BF52" s="7">
        <f t="shared" si="10"/>
        <v>0</v>
      </c>
      <c r="BG52" s="33"/>
      <c r="BH52" s="33"/>
      <c r="BI52" s="7">
        <f t="shared" si="11"/>
        <v>0</v>
      </c>
      <c r="BJ52" s="33"/>
      <c r="BK52" s="33"/>
      <c r="BL52" s="7">
        <f t="shared" si="12"/>
        <v>0</v>
      </c>
      <c r="BM52" s="33"/>
      <c r="BN52" s="33"/>
      <c r="BO52" s="7">
        <f t="shared" si="13"/>
        <v>0</v>
      </c>
      <c r="BP52" s="33"/>
      <c r="BQ52" s="33"/>
      <c r="BR52" s="7">
        <f t="shared" si="14"/>
        <v>0</v>
      </c>
      <c r="BS52" s="33"/>
      <c r="BT52" s="33"/>
      <c r="BU52" s="7">
        <f t="shared" si="15"/>
        <v>0</v>
      </c>
      <c r="BV52" s="33">
        <v>0</v>
      </c>
      <c r="BW52" s="7">
        <f t="shared" si="16"/>
        <v>0</v>
      </c>
      <c r="BX52" s="7">
        <f t="shared" si="17"/>
        <v>0</v>
      </c>
      <c r="BY52" s="33"/>
      <c r="BZ52" s="7">
        <f t="shared" si="18"/>
        <v>1500000</v>
      </c>
      <c r="CA52" s="7">
        <f t="shared" si="19"/>
        <v>1500000</v>
      </c>
      <c r="CB52" s="15">
        <f t="shared" si="2"/>
        <v>0</v>
      </c>
      <c r="CC52" s="15">
        <f t="shared" si="3"/>
        <v>0</v>
      </c>
      <c r="CD52" s="490" t="s">
        <v>761</v>
      </c>
      <c r="CE52" s="36">
        <v>1500000</v>
      </c>
      <c r="CF52" s="36"/>
      <c r="CG52" s="36"/>
      <c r="CH52" s="36"/>
      <c r="CI52" s="36"/>
      <c r="CJ52" s="7"/>
      <c r="CK52" s="36"/>
      <c r="CL52" s="7"/>
      <c r="CM52" s="36"/>
      <c r="CN52" s="36"/>
      <c r="CO52" s="7"/>
      <c r="CP52" s="7"/>
      <c r="CQ52" s="7"/>
      <c r="CR52" s="36"/>
      <c r="CS52" s="36"/>
      <c r="CT52" s="7"/>
      <c r="CU52" s="36"/>
      <c r="CV52" s="36"/>
      <c r="CW52" s="7"/>
      <c r="CX52" s="36"/>
      <c r="CY52" s="36"/>
      <c r="CZ52" s="7"/>
      <c r="DA52" s="36"/>
      <c r="DB52" s="7"/>
      <c r="DC52" s="36"/>
      <c r="DD52" s="7"/>
      <c r="DE52" s="36"/>
      <c r="DF52" s="7"/>
      <c r="DG52" s="36"/>
      <c r="DH52" s="7"/>
      <c r="DI52" s="36"/>
      <c r="DJ52" s="7"/>
      <c r="DK52" s="36"/>
      <c r="DL52" s="7"/>
      <c r="DM52" s="36"/>
      <c r="DN52" s="14"/>
      <c r="DO52" s="14"/>
      <c r="DP52" s="7"/>
      <c r="DQ52" s="7"/>
      <c r="DR52" s="7"/>
      <c r="DS52" s="15"/>
      <c r="DT52" s="15"/>
      <c r="DU52" s="15"/>
      <c r="DV52" s="15"/>
      <c r="DW52" s="7"/>
      <c r="DX52" s="27"/>
      <c r="DY52" s="109"/>
    </row>
    <row r="53" spans="1:129" s="1" customFormat="1" ht="18" customHeight="1" thickBot="1">
      <c r="A53" s="38"/>
      <c r="B53" s="29"/>
      <c r="C53" s="38"/>
      <c r="D53" s="29"/>
      <c r="E53" s="16"/>
      <c r="F53" s="408"/>
      <c r="G53" s="408"/>
      <c r="H53" s="408"/>
      <c r="I53" s="37"/>
      <c r="J53" s="38"/>
      <c r="K53" s="16"/>
      <c r="L53" s="16"/>
      <c r="M53" s="57"/>
      <c r="N53" s="16"/>
      <c r="O53" s="16"/>
      <c r="P53" s="16"/>
      <c r="Q53" s="16"/>
      <c r="R53" s="16"/>
      <c r="S53" s="16"/>
      <c r="T53" s="28"/>
      <c r="U53" s="28"/>
      <c r="V53" s="28"/>
      <c r="W53" s="28"/>
      <c r="X53" s="28"/>
      <c r="Y53" s="39"/>
      <c r="Z53" s="30"/>
      <c r="AA53" s="56" t="s">
        <v>580</v>
      </c>
      <c r="AB53" s="28"/>
      <c r="AC53" s="42" t="e">
        <f>SUM(#REF!)</f>
        <v>#REF!</v>
      </c>
      <c r="AD53" s="42" t="e">
        <f>SUM(#REF!)</f>
        <v>#REF!</v>
      </c>
      <c r="AE53" s="42" t="e">
        <f>SUM(#REF!)</f>
        <v>#REF!</v>
      </c>
      <c r="AF53" s="42" t="e">
        <f>SUM(#REF!)</f>
        <v>#REF!</v>
      </c>
      <c r="AG53" s="42">
        <f>SUBTOTAL(9,AG49:AG50)</f>
        <v>0</v>
      </c>
      <c r="AH53" s="42">
        <f>SUBTOTAL(9,AH49:AH50)</f>
        <v>0</v>
      </c>
      <c r="AI53" s="42">
        <f>SUBTOTAL(9,AI49:AI50)</f>
        <v>0</v>
      </c>
      <c r="AJ53" s="473">
        <f>SUBTOTAL(9,AJ49:AJ50)</f>
        <v>0</v>
      </c>
      <c r="AK53" s="42">
        <f>SUBTOTAL(9,AK49:AK52)</f>
        <v>12350000</v>
      </c>
      <c r="AL53" s="478">
        <f t="shared" ref="AL53:CA53" si="91">SUBTOTAL(9,AL49:AL52)</f>
        <v>19074.32</v>
      </c>
      <c r="AM53" s="42">
        <f t="shared" si="91"/>
        <v>0</v>
      </c>
      <c r="AN53" s="42">
        <f t="shared" si="91"/>
        <v>19074.32</v>
      </c>
      <c r="AO53" s="42">
        <f t="shared" si="91"/>
        <v>0</v>
      </c>
      <c r="AP53" s="42">
        <f t="shared" si="91"/>
        <v>0</v>
      </c>
      <c r="AQ53" s="42">
        <f t="shared" si="91"/>
        <v>0</v>
      </c>
      <c r="AR53" s="42">
        <f t="shared" si="91"/>
        <v>0</v>
      </c>
      <c r="AS53" s="42">
        <f t="shared" si="91"/>
        <v>0</v>
      </c>
      <c r="AT53" s="42">
        <f t="shared" si="91"/>
        <v>0</v>
      </c>
      <c r="AU53" s="42">
        <f t="shared" si="91"/>
        <v>0</v>
      </c>
      <c r="AV53" s="42">
        <f t="shared" si="91"/>
        <v>0</v>
      </c>
      <c r="AW53" s="42">
        <f t="shared" si="91"/>
        <v>0</v>
      </c>
      <c r="AX53" s="42">
        <f t="shared" si="91"/>
        <v>0</v>
      </c>
      <c r="AY53" s="42">
        <f t="shared" si="91"/>
        <v>0</v>
      </c>
      <c r="AZ53" s="42">
        <f t="shared" si="91"/>
        <v>0</v>
      </c>
      <c r="BA53" s="42">
        <f t="shared" si="91"/>
        <v>0</v>
      </c>
      <c r="BB53" s="42">
        <f t="shared" si="91"/>
        <v>0</v>
      </c>
      <c r="BC53" s="42">
        <f t="shared" si="91"/>
        <v>0</v>
      </c>
      <c r="BD53" s="42">
        <f t="shared" si="91"/>
        <v>0</v>
      </c>
      <c r="BE53" s="42">
        <f t="shared" si="91"/>
        <v>0</v>
      </c>
      <c r="BF53" s="42">
        <f t="shared" si="91"/>
        <v>0</v>
      </c>
      <c r="BG53" s="42">
        <f t="shared" si="91"/>
        <v>0</v>
      </c>
      <c r="BH53" s="42">
        <f t="shared" si="91"/>
        <v>0</v>
      </c>
      <c r="BI53" s="42">
        <f t="shared" si="91"/>
        <v>0</v>
      </c>
      <c r="BJ53" s="42">
        <f t="shared" si="91"/>
        <v>0</v>
      </c>
      <c r="BK53" s="42">
        <f t="shared" si="91"/>
        <v>0</v>
      </c>
      <c r="BL53" s="42">
        <f t="shared" si="91"/>
        <v>0</v>
      </c>
      <c r="BM53" s="42">
        <f t="shared" si="91"/>
        <v>0</v>
      </c>
      <c r="BN53" s="42">
        <f t="shared" si="91"/>
        <v>0</v>
      </c>
      <c r="BO53" s="42">
        <f t="shared" si="91"/>
        <v>0</v>
      </c>
      <c r="BP53" s="42">
        <f t="shared" si="91"/>
        <v>0</v>
      </c>
      <c r="BQ53" s="42">
        <f t="shared" si="91"/>
        <v>0</v>
      </c>
      <c r="BR53" s="42">
        <f t="shared" si="91"/>
        <v>0</v>
      </c>
      <c r="BS53" s="42">
        <f t="shared" si="91"/>
        <v>0</v>
      </c>
      <c r="BT53" s="42">
        <f t="shared" si="91"/>
        <v>0</v>
      </c>
      <c r="BU53" s="42">
        <f t="shared" si="91"/>
        <v>0</v>
      </c>
      <c r="BV53" s="42">
        <f t="shared" si="91"/>
        <v>0</v>
      </c>
      <c r="BW53" s="42">
        <f t="shared" si="91"/>
        <v>19074.32</v>
      </c>
      <c r="BX53" s="42">
        <f t="shared" si="91"/>
        <v>19074.32</v>
      </c>
      <c r="BY53" s="42">
        <f t="shared" si="91"/>
        <v>0</v>
      </c>
      <c r="BZ53" s="42">
        <f t="shared" si="91"/>
        <v>12330925.68</v>
      </c>
      <c r="CA53" s="42">
        <f t="shared" si="91"/>
        <v>12330925.68</v>
      </c>
      <c r="CB53" s="21">
        <f t="shared" si="2"/>
        <v>1.5444793522267205E-3</v>
      </c>
      <c r="CC53" s="21">
        <f t="shared" si="3"/>
        <v>1.5444793522267205E-3</v>
      </c>
      <c r="CD53" s="489"/>
      <c r="CE53" s="42">
        <f>SUBTOTAL(9,CE49:CE52)</f>
        <v>12000000</v>
      </c>
      <c r="CF53" s="42">
        <f>SUBTOTAL(9,CF49:CF52)</f>
        <v>10500000</v>
      </c>
      <c r="CG53" s="42">
        <f>SUBTOTAL(9,CG49:CG52)</f>
        <v>0</v>
      </c>
      <c r="CH53" s="42">
        <f>SUBTOTAL(9,CH49:CH52)</f>
        <v>0</v>
      </c>
      <c r="CI53" s="42" t="e">
        <f>SUM(#REF!)</f>
        <v>#REF!</v>
      </c>
      <c r="CJ53" s="42" t="e">
        <f>SUM(#REF!)</f>
        <v>#REF!</v>
      </c>
      <c r="CK53" s="42" t="e">
        <f>SUM(#REF!)</f>
        <v>#REF!</v>
      </c>
      <c r="CL53" s="42" t="e">
        <f>SUM(#REF!)</f>
        <v>#REF!</v>
      </c>
      <c r="CM53" s="42" t="e">
        <f>SUM(#REF!)</f>
        <v>#REF!</v>
      </c>
      <c r="CN53" s="42" t="e">
        <f>SUM(#REF!)</f>
        <v>#REF!</v>
      </c>
      <c r="CO53" s="42" t="e">
        <f>SUM(#REF!)</f>
        <v>#REF!</v>
      </c>
      <c r="CP53" s="42" t="e">
        <f>SUM(#REF!)</f>
        <v>#REF!</v>
      </c>
      <c r="CQ53" s="42" t="e">
        <f>SUM(#REF!)</f>
        <v>#REF!</v>
      </c>
      <c r="CR53" s="42" t="e">
        <f>SUM(#REF!)</f>
        <v>#REF!</v>
      </c>
      <c r="CS53" s="42" t="e">
        <f>SUM(#REF!)</f>
        <v>#REF!</v>
      </c>
      <c r="CT53" s="42" t="e">
        <f>SUM(#REF!)</f>
        <v>#REF!</v>
      </c>
      <c r="CU53" s="42" t="e">
        <f>SUM(#REF!)</f>
        <v>#REF!</v>
      </c>
      <c r="CV53" s="42" t="e">
        <f>SUM(#REF!)</f>
        <v>#REF!</v>
      </c>
      <c r="CW53" s="42" t="e">
        <f>SUM(#REF!)</f>
        <v>#REF!</v>
      </c>
      <c r="CX53" s="42" t="e">
        <f>SUM(#REF!)</f>
        <v>#REF!</v>
      </c>
      <c r="CY53" s="42" t="e">
        <f>SUM(#REF!)</f>
        <v>#REF!</v>
      </c>
      <c r="CZ53" s="42" t="e">
        <f>SUM(#REF!)</f>
        <v>#REF!</v>
      </c>
      <c r="DA53" s="42" t="e">
        <f>SUM(#REF!)</f>
        <v>#REF!</v>
      </c>
      <c r="DB53" s="42" t="e">
        <f>SUM(#REF!)</f>
        <v>#REF!</v>
      </c>
      <c r="DC53" s="42" t="e">
        <f>SUM(#REF!)</f>
        <v>#REF!</v>
      </c>
      <c r="DD53" s="42" t="e">
        <f>SUM(#REF!)</f>
        <v>#REF!</v>
      </c>
      <c r="DE53" s="42" t="e">
        <f>SUM(#REF!)</f>
        <v>#REF!</v>
      </c>
      <c r="DF53" s="42" t="e">
        <f>SUM(#REF!)</f>
        <v>#REF!</v>
      </c>
      <c r="DG53" s="42" t="e">
        <f>SUM(#REF!)</f>
        <v>#REF!</v>
      </c>
      <c r="DH53" s="42" t="e">
        <f>SUM(#REF!)</f>
        <v>#REF!</v>
      </c>
      <c r="DI53" s="42" t="e">
        <f>SUM(#REF!)</f>
        <v>#REF!</v>
      </c>
      <c r="DJ53" s="42" t="e">
        <f>SUM(#REF!)</f>
        <v>#REF!</v>
      </c>
      <c r="DK53" s="42" t="e">
        <f>SUM(#REF!)</f>
        <v>#REF!</v>
      </c>
      <c r="DL53" s="42" t="e">
        <f>SUM(#REF!)</f>
        <v>#REF!</v>
      </c>
      <c r="DM53" s="42" t="e">
        <f>SUM(#REF!)</f>
        <v>#REF!</v>
      </c>
      <c r="DN53" s="42" t="e">
        <f>SUM(#REF!)</f>
        <v>#REF!</v>
      </c>
      <c r="DO53" s="42" t="e">
        <f>SUM(#REF!)</f>
        <v>#REF!</v>
      </c>
      <c r="DP53" s="42" t="e">
        <f>SUM(#REF!)</f>
        <v>#REF!</v>
      </c>
      <c r="DQ53" s="42" t="e">
        <f>SUM(#REF!)</f>
        <v>#REF!</v>
      </c>
      <c r="DR53" s="42" t="e">
        <f>SUM(#REF!)</f>
        <v>#REF!</v>
      </c>
      <c r="DS53" s="21" t="e">
        <f>DN53/AG53</f>
        <v>#REF!</v>
      </c>
      <c r="DT53" s="21" t="e">
        <f>DO53/AG53</f>
        <v>#REF!</v>
      </c>
      <c r="DU53" s="21"/>
      <c r="DV53" s="21"/>
      <c r="DW53" s="42">
        <f>SUBTOTAL(9,DW48:DW50)</f>
        <v>0</v>
      </c>
      <c r="DX53" s="42"/>
      <c r="DY53" s="109"/>
    </row>
    <row r="54" spans="1:129" s="1" customFormat="1" ht="15.75" customHeight="1" thickTop="1">
      <c r="A54" s="10"/>
      <c r="B54" s="24"/>
      <c r="C54" s="10"/>
      <c r="D54" s="24"/>
      <c r="E54" s="3"/>
      <c r="F54" s="406"/>
      <c r="G54" s="406"/>
      <c r="H54" s="406"/>
      <c r="I54" s="9"/>
      <c r="J54" s="10"/>
      <c r="K54" s="3"/>
      <c r="L54" s="3"/>
      <c r="M54" s="45"/>
      <c r="N54" s="3"/>
      <c r="O54" s="3"/>
      <c r="P54" s="3"/>
      <c r="Q54" s="3"/>
      <c r="R54" s="3"/>
      <c r="S54" s="3"/>
      <c r="T54" s="12"/>
      <c r="U54" s="12"/>
      <c r="V54" s="12"/>
      <c r="W54" s="12"/>
      <c r="X54" s="12"/>
      <c r="Y54" s="13"/>
      <c r="Z54" s="25"/>
      <c r="AA54" s="10"/>
      <c r="AB54" s="12"/>
      <c r="AC54" s="36"/>
      <c r="AD54" s="36"/>
      <c r="AE54" s="7"/>
      <c r="AF54" s="33"/>
      <c r="AG54" s="33"/>
      <c r="AH54" s="33"/>
      <c r="AI54" s="33"/>
      <c r="AJ54" s="472"/>
      <c r="AK54" s="27"/>
      <c r="AL54" s="36"/>
      <c r="AM54" s="36"/>
      <c r="AN54" s="7"/>
      <c r="AO54" s="36"/>
      <c r="AP54" s="36"/>
      <c r="AQ54" s="7"/>
      <c r="AR54" s="36"/>
      <c r="AS54" s="36"/>
      <c r="AT54" s="7"/>
      <c r="AU54" s="33"/>
      <c r="AV54" s="33"/>
      <c r="AW54" s="7"/>
      <c r="AX54" s="33"/>
      <c r="AY54" s="33"/>
      <c r="AZ54" s="7"/>
      <c r="BA54" s="33"/>
      <c r="BB54" s="33"/>
      <c r="BC54" s="7"/>
      <c r="BD54" s="33"/>
      <c r="BE54" s="33"/>
      <c r="BF54" s="7"/>
      <c r="BG54" s="33"/>
      <c r="BH54" s="33"/>
      <c r="BI54" s="7"/>
      <c r="BJ54" s="33"/>
      <c r="BK54" s="33"/>
      <c r="BL54" s="7"/>
      <c r="BM54" s="33"/>
      <c r="BN54" s="33"/>
      <c r="BO54" s="7"/>
      <c r="BP54" s="33"/>
      <c r="BQ54" s="33"/>
      <c r="BR54" s="7"/>
      <c r="BS54" s="33"/>
      <c r="BT54" s="33"/>
      <c r="BU54" s="7"/>
      <c r="BV54" s="33"/>
      <c r="BW54" s="7"/>
      <c r="BX54" s="7"/>
      <c r="BY54" s="33"/>
      <c r="BZ54" s="7"/>
      <c r="CA54" s="7"/>
      <c r="CB54" s="15"/>
      <c r="CC54" s="15"/>
      <c r="CD54" s="490"/>
      <c r="CE54" s="36"/>
      <c r="CF54" s="33"/>
      <c r="CG54" s="33"/>
      <c r="CH54" s="33"/>
      <c r="CI54" s="36"/>
      <c r="CJ54" s="7"/>
      <c r="CK54" s="36"/>
      <c r="CL54" s="7"/>
      <c r="CM54" s="36"/>
      <c r="CN54" s="36"/>
      <c r="CO54" s="7"/>
      <c r="CP54" s="7"/>
      <c r="CQ54" s="7"/>
      <c r="CR54" s="36"/>
      <c r="CS54" s="36"/>
      <c r="CT54" s="7"/>
      <c r="CU54" s="36"/>
      <c r="CV54" s="36"/>
      <c r="CW54" s="7"/>
      <c r="CX54" s="36"/>
      <c r="CY54" s="36"/>
      <c r="CZ54" s="7"/>
      <c r="DA54" s="36"/>
      <c r="DB54" s="7">
        <f>DA54</f>
        <v>0</v>
      </c>
      <c r="DC54" s="36"/>
      <c r="DD54" s="7">
        <f>DC54</f>
        <v>0</v>
      </c>
      <c r="DE54" s="36"/>
      <c r="DF54" s="7">
        <f>DE54</f>
        <v>0</v>
      </c>
      <c r="DG54" s="36"/>
      <c r="DH54" s="7">
        <f>DG54</f>
        <v>0</v>
      </c>
      <c r="DI54" s="36"/>
      <c r="DJ54" s="7">
        <f>DI54</f>
        <v>0</v>
      </c>
      <c r="DK54" s="36"/>
      <c r="DL54" s="7">
        <f>DK54</f>
        <v>0</v>
      </c>
      <c r="DM54" s="36"/>
      <c r="DN54" s="14"/>
      <c r="DO54" s="14"/>
      <c r="DP54" s="7"/>
      <c r="DQ54" s="7"/>
      <c r="DR54" s="7"/>
      <c r="DS54" s="15"/>
      <c r="DT54" s="15"/>
      <c r="DU54" s="300"/>
      <c r="DV54" s="300"/>
      <c r="DW54" s="33"/>
      <c r="DX54" s="36"/>
      <c r="DY54" s="109"/>
    </row>
    <row r="55" spans="1:129" s="1" customFormat="1" ht="15.75" customHeight="1">
      <c r="A55" s="22" t="s">
        <v>111</v>
      </c>
      <c r="B55" s="23"/>
      <c r="C55" s="22"/>
      <c r="D55" s="23"/>
      <c r="E55" s="3"/>
      <c r="F55" s="406"/>
      <c r="G55" s="406"/>
      <c r="H55" s="406"/>
      <c r="I55" s="9"/>
      <c r="J55" s="10"/>
      <c r="K55" s="3"/>
      <c r="L55" s="3"/>
      <c r="M55" s="45"/>
      <c r="N55" s="3"/>
      <c r="O55" s="3"/>
      <c r="P55" s="3"/>
      <c r="Q55" s="3"/>
      <c r="R55" s="3"/>
      <c r="S55" s="3"/>
      <c r="T55" s="12"/>
      <c r="U55" s="12"/>
      <c r="V55" s="12"/>
      <c r="W55" s="12"/>
      <c r="X55" s="12"/>
      <c r="Y55" s="13"/>
      <c r="Z55" s="25"/>
      <c r="AA55" s="66" t="s">
        <v>111</v>
      </c>
      <c r="AB55" s="12"/>
      <c r="AC55" s="36"/>
      <c r="AD55" s="36"/>
      <c r="AE55" s="7"/>
      <c r="AF55" s="33"/>
      <c r="AG55" s="33"/>
      <c r="AH55" s="33"/>
      <c r="AI55" s="33"/>
      <c r="AJ55" s="472"/>
      <c r="AK55" s="27"/>
      <c r="AL55" s="36"/>
      <c r="AM55" s="36"/>
      <c r="AN55" s="7"/>
      <c r="AO55" s="36"/>
      <c r="AP55" s="36"/>
      <c r="AQ55" s="7"/>
      <c r="AR55" s="36"/>
      <c r="AS55" s="36"/>
      <c r="AT55" s="7"/>
      <c r="AU55" s="33"/>
      <c r="AV55" s="33"/>
      <c r="AW55" s="7"/>
      <c r="AX55" s="33"/>
      <c r="AY55" s="33"/>
      <c r="AZ55" s="7"/>
      <c r="BA55" s="33"/>
      <c r="BB55" s="33"/>
      <c r="BC55" s="7"/>
      <c r="BD55" s="33"/>
      <c r="BE55" s="33"/>
      <c r="BF55" s="7"/>
      <c r="BG55" s="33"/>
      <c r="BH55" s="33"/>
      <c r="BI55" s="7"/>
      <c r="BJ55" s="33"/>
      <c r="BK55" s="33"/>
      <c r="BL55" s="7"/>
      <c r="BM55" s="33"/>
      <c r="BN55" s="33"/>
      <c r="BO55" s="7"/>
      <c r="BP55" s="33"/>
      <c r="BQ55" s="33"/>
      <c r="BR55" s="7"/>
      <c r="BS55" s="33"/>
      <c r="BT55" s="33"/>
      <c r="BU55" s="7"/>
      <c r="BV55" s="33"/>
      <c r="BW55" s="7"/>
      <c r="BX55" s="7"/>
      <c r="BY55" s="33"/>
      <c r="BZ55" s="7"/>
      <c r="CA55" s="7"/>
      <c r="CB55" s="15"/>
      <c r="CC55" s="15"/>
      <c r="CD55" s="490"/>
      <c r="CE55" s="36"/>
      <c r="CF55" s="33"/>
      <c r="CG55" s="33"/>
      <c r="CH55" s="33"/>
      <c r="CI55" s="36"/>
      <c r="CJ55" s="7"/>
      <c r="CK55" s="36"/>
      <c r="CL55" s="7"/>
      <c r="CM55" s="36"/>
      <c r="CN55" s="36"/>
      <c r="CO55" s="7"/>
      <c r="CP55" s="7"/>
      <c r="CQ55" s="7"/>
      <c r="CR55" s="36"/>
      <c r="CS55" s="36"/>
      <c r="CT55" s="7"/>
      <c r="CU55" s="36"/>
      <c r="CV55" s="36"/>
      <c r="CW55" s="7"/>
      <c r="CX55" s="36"/>
      <c r="CY55" s="36"/>
      <c r="CZ55" s="7"/>
      <c r="DA55" s="36"/>
      <c r="DB55" s="7">
        <f>DA55</f>
        <v>0</v>
      </c>
      <c r="DC55" s="36"/>
      <c r="DD55" s="7">
        <f>DC55</f>
        <v>0</v>
      </c>
      <c r="DE55" s="36"/>
      <c r="DF55" s="7">
        <f>DE55</f>
        <v>0</v>
      </c>
      <c r="DG55" s="36"/>
      <c r="DH55" s="7">
        <f>DG55</f>
        <v>0</v>
      </c>
      <c r="DI55" s="36"/>
      <c r="DJ55" s="7">
        <f>DI55</f>
        <v>0</v>
      </c>
      <c r="DK55" s="36"/>
      <c r="DL55" s="7">
        <f>DK55</f>
        <v>0</v>
      </c>
      <c r="DM55" s="36"/>
      <c r="DN55" s="14"/>
      <c r="DO55" s="14"/>
      <c r="DP55" s="7"/>
      <c r="DQ55" s="7"/>
      <c r="DR55" s="7"/>
      <c r="DS55" s="15"/>
      <c r="DT55" s="15"/>
      <c r="DU55" s="300"/>
      <c r="DV55" s="300"/>
      <c r="DW55" s="33"/>
      <c r="DX55" s="36"/>
      <c r="DY55" s="109"/>
    </row>
    <row r="56" spans="1:129" s="1" customFormat="1" ht="37.5" customHeight="1">
      <c r="A56" s="10" t="s">
        <v>30</v>
      </c>
      <c r="B56" s="43"/>
      <c r="C56" s="8" t="s">
        <v>631</v>
      </c>
      <c r="D56" s="43"/>
      <c r="E56" s="3">
        <v>405005</v>
      </c>
      <c r="F56" s="406">
        <v>4</v>
      </c>
      <c r="G56" s="412" t="s">
        <v>187</v>
      </c>
      <c r="H56" s="406">
        <v>1509</v>
      </c>
      <c r="I56" s="9" t="s">
        <v>41</v>
      </c>
      <c r="J56" s="10" t="s">
        <v>72</v>
      </c>
      <c r="K56" s="3">
        <v>4</v>
      </c>
      <c r="L56" s="11" t="s">
        <v>187</v>
      </c>
      <c r="M56" s="45"/>
      <c r="N56" s="11" t="s">
        <v>186</v>
      </c>
      <c r="O56" s="11" t="s">
        <v>190</v>
      </c>
      <c r="P56" s="11" t="s">
        <v>187</v>
      </c>
      <c r="Q56" s="11" t="s">
        <v>187</v>
      </c>
      <c r="R56" s="3">
        <v>270</v>
      </c>
      <c r="S56" s="3" t="s">
        <v>188</v>
      </c>
      <c r="T56" s="12" t="s">
        <v>26</v>
      </c>
      <c r="U56" s="12" t="s">
        <v>222</v>
      </c>
      <c r="V56" s="12"/>
      <c r="W56" s="12" t="s">
        <v>5</v>
      </c>
      <c r="X56" s="12"/>
      <c r="Y56" s="13" t="s">
        <v>98</v>
      </c>
      <c r="Z56" s="25" t="s">
        <v>92</v>
      </c>
      <c r="AA56" s="9" t="s">
        <v>293</v>
      </c>
      <c r="AB56" s="12" t="s">
        <v>8</v>
      </c>
      <c r="AC56" s="36"/>
      <c r="AD56" s="36"/>
      <c r="AE56" s="7"/>
      <c r="AF56" s="33"/>
      <c r="AG56" s="33">
        <v>0</v>
      </c>
      <c r="AH56" s="33"/>
      <c r="AI56" s="7">
        <f t="shared" ref="AI56:AI65" si="92">+AG56+AH56</f>
        <v>0</v>
      </c>
      <c r="AJ56" s="472"/>
      <c r="AK56" s="27">
        <v>500000</v>
      </c>
      <c r="AL56" s="36">
        <v>0</v>
      </c>
      <c r="AM56" s="36">
        <v>0</v>
      </c>
      <c r="AN56" s="7">
        <f t="shared" si="4"/>
        <v>0</v>
      </c>
      <c r="AO56" s="36"/>
      <c r="AP56" s="36"/>
      <c r="AQ56" s="7">
        <f t="shared" si="5"/>
        <v>0</v>
      </c>
      <c r="AR56" s="36"/>
      <c r="AS56" s="36"/>
      <c r="AT56" s="7">
        <f t="shared" si="6"/>
        <v>0</v>
      </c>
      <c r="AU56" s="33"/>
      <c r="AV56" s="33"/>
      <c r="AW56" s="7">
        <f t="shared" si="7"/>
        <v>0</v>
      </c>
      <c r="AX56" s="33"/>
      <c r="AY56" s="33"/>
      <c r="AZ56" s="7">
        <f t="shared" si="8"/>
        <v>0</v>
      </c>
      <c r="BA56" s="33"/>
      <c r="BB56" s="33"/>
      <c r="BC56" s="7">
        <f t="shared" si="9"/>
        <v>0</v>
      </c>
      <c r="BD56" s="33"/>
      <c r="BE56" s="33"/>
      <c r="BF56" s="7">
        <f t="shared" si="10"/>
        <v>0</v>
      </c>
      <c r="BG56" s="33"/>
      <c r="BH56" s="33"/>
      <c r="BI56" s="7">
        <f t="shared" si="11"/>
        <v>0</v>
      </c>
      <c r="BJ56" s="33"/>
      <c r="BK56" s="33"/>
      <c r="BL56" s="7">
        <f t="shared" si="12"/>
        <v>0</v>
      </c>
      <c r="BM56" s="33"/>
      <c r="BN56" s="33"/>
      <c r="BO56" s="7">
        <f t="shared" si="13"/>
        <v>0</v>
      </c>
      <c r="BP56" s="33"/>
      <c r="BQ56" s="33"/>
      <c r="BR56" s="7">
        <f t="shared" si="14"/>
        <v>0</v>
      </c>
      <c r="BS56" s="33"/>
      <c r="BT56" s="33"/>
      <c r="BU56" s="7">
        <f t="shared" si="15"/>
        <v>0</v>
      </c>
      <c r="BV56" s="33">
        <v>0</v>
      </c>
      <c r="BW56" s="7">
        <f t="shared" si="16"/>
        <v>0</v>
      </c>
      <c r="BX56" s="7">
        <f t="shared" si="17"/>
        <v>0</v>
      </c>
      <c r="BY56" s="33"/>
      <c r="BZ56" s="7">
        <f t="shared" si="18"/>
        <v>500000</v>
      </c>
      <c r="CA56" s="7">
        <f t="shared" si="19"/>
        <v>500000</v>
      </c>
      <c r="CB56" s="15">
        <f t="shared" si="2"/>
        <v>0</v>
      </c>
      <c r="CC56" s="15">
        <f t="shared" si="3"/>
        <v>0</v>
      </c>
      <c r="CD56" s="490" t="s">
        <v>758</v>
      </c>
      <c r="CE56" s="36">
        <v>500000</v>
      </c>
      <c r="CF56" s="33">
        <v>500000</v>
      </c>
      <c r="CG56" s="33"/>
      <c r="CH56" s="33"/>
      <c r="CI56" s="36"/>
      <c r="CJ56" s="7"/>
      <c r="CK56" s="36"/>
      <c r="CL56" s="7"/>
      <c r="CM56" s="36"/>
      <c r="CN56" s="36"/>
      <c r="CO56" s="7"/>
      <c r="CP56" s="7"/>
      <c r="CQ56" s="7"/>
      <c r="CR56" s="36"/>
      <c r="CS56" s="36"/>
      <c r="CT56" s="7"/>
      <c r="CU56" s="36"/>
      <c r="CV56" s="36"/>
      <c r="CW56" s="7"/>
      <c r="CX56" s="36"/>
      <c r="CY56" s="36"/>
      <c r="CZ56" s="7"/>
      <c r="DA56" s="36"/>
      <c r="DB56" s="7"/>
      <c r="DC56" s="36"/>
      <c r="DD56" s="7"/>
      <c r="DE56" s="36"/>
      <c r="DF56" s="7"/>
      <c r="DG56" s="36"/>
      <c r="DH56" s="7"/>
      <c r="DI56" s="36"/>
      <c r="DJ56" s="7"/>
      <c r="DK56" s="36"/>
      <c r="DL56" s="7"/>
      <c r="DM56" s="36"/>
      <c r="DN56" s="14"/>
      <c r="DO56" s="14"/>
      <c r="DP56" s="7"/>
      <c r="DQ56" s="7"/>
      <c r="DR56" s="7"/>
      <c r="DS56" s="15"/>
      <c r="DT56" s="15"/>
      <c r="DU56" s="300"/>
      <c r="DV56" s="300"/>
      <c r="DW56" s="33"/>
      <c r="DX56" s="36"/>
      <c r="DY56" s="109"/>
    </row>
    <row r="57" spans="1:129" s="1" customFormat="1" ht="21.75" customHeight="1">
      <c r="A57" s="10" t="s">
        <v>30</v>
      </c>
      <c r="B57" s="24" t="s">
        <v>81</v>
      </c>
      <c r="C57" s="8" t="s">
        <v>228</v>
      </c>
      <c r="D57" s="24"/>
      <c r="E57" s="26">
        <v>415025</v>
      </c>
      <c r="F57" s="406">
        <v>4</v>
      </c>
      <c r="G57" s="412" t="s">
        <v>187</v>
      </c>
      <c r="H57" s="407">
        <v>1510</v>
      </c>
      <c r="I57" s="9" t="s">
        <v>41</v>
      </c>
      <c r="J57" s="10" t="s">
        <v>72</v>
      </c>
      <c r="K57" s="3">
        <v>4</v>
      </c>
      <c r="L57" s="11" t="s">
        <v>187</v>
      </c>
      <c r="M57" s="45"/>
      <c r="N57" s="11" t="s">
        <v>186</v>
      </c>
      <c r="O57" s="3" t="s">
        <v>190</v>
      </c>
      <c r="P57" s="11" t="s">
        <v>187</v>
      </c>
      <c r="Q57" s="11" t="s">
        <v>187</v>
      </c>
      <c r="R57" s="3">
        <v>270</v>
      </c>
      <c r="S57" s="3" t="s">
        <v>188</v>
      </c>
      <c r="T57" s="12" t="s">
        <v>26</v>
      </c>
      <c r="U57" s="12" t="s">
        <v>222</v>
      </c>
      <c r="V57" s="12"/>
      <c r="W57" s="12" t="s">
        <v>5</v>
      </c>
      <c r="X57" s="12" t="s">
        <v>53</v>
      </c>
      <c r="Y57" s="13" t="s">
        <v>98</v>
      </c>
      <c r="Z57" s="25" t="s">
        <v>92</v>
      </c>
      <c r="AA57" s="10" t="s">
        <v>102</v>
      </c>
      <c r="AB57" s="12" t="s">
        <v>8</v>
      </c>
      <c r="AC57" s="27">
        <v>500000</v>
      </c>
      <c r="AD57" s="36"/>
      <c r="AE57" s="7">
        <f>AC57+AD57</f>
        <v>500000</v>
      </c>
      <c r="AF57" s="33"/>
      <c r="AG57" s="33">
        <f t="shared" ref="AG57:AG65" si="93">AE57+AF57</f>
        <v>500000</v>
      </c>
      <c r="AH57" s="33"/>
      <c r="AI57" s="7">
        <f t="shared" si="92"/>
        <v>500000</v>
      </c>
      <c r="AJ57" s="472"/>
      <c r="AK57" s="27">
        <v>500000</v>
      </c>
      <c r="AL57" s="36">
        <v>0</v>
      </c>
      <c r="AM57" s="36">
        <v>0</v>
      </c>
      <c r="AN57" s="7">
        <f t="shared" si="4"/>
        <v>0</v>
      </c>
      <c r="AO57" s="36"/>
      <c r="AP57" s="36"/>
      <c r="AQ57" s="7">
        <f t="shared" si="5"/>
        <v>0</v>
      </c>
      <c r="AR57" s="36"/>
      <c r="AS57" s="36"/>
      <c r="AT57" s="7">
        <f t="shared" si="6"/>
        <v>0</v>
      </c>
      <c r="AU57" s="7"/>
      <c r="AV57" s="7"/>
      <c r="AW57" s="7">
        <f t="shared" si="7"/>
        <v>0</v>
      </c>
      <c r="AX57" s="7"/>
      <c r="AY57" s="7"/>
      <c r="AZ57" s="7">
        <f t="shared" si="8"/>
        <v>0</v>
      </c>
      <c r="BA57" s="7"/>
      <c r="BB57" s="7"/>
      <c r="BC57" s="7">
        <f t="shared" si="9"/>
        <v>0</v>
      </c>
      <c r="BD57" s="7"/>
      <c r="BE57" s="7"/>
      <c r="BF57" s="7">
        <f t="shared" si="10"/>
        <v>0</v>
      </c>
      <c r="BG57" s="7"/>
      <c r="BH57" s="7"/>
      <c r="BI57" s="7">
        <f t="shared" si="11"/>
        <v>0</v>
      </c>
      <c r="BJ57" s="7"/>
      <c r="BK57" s="7"/>
      <c r="BL57" s="7">
        <f t="shared" si="12"/>
        <v>0</v>
      </c>
      <c r="BM57" s="7"/>
      <c r="BN57" s="7"/>
      <c r="BO57" s="7">
        <f t="shared" si="13"/>
        <v>0</v>
      </c>
      <c r="BP57" s="7"/>
      <c r="BQ57" s="7"/>
      <c r="BR57" s="7">
        <f t="shared" si="14"/>
        <v>0</v>
      </c>
      <c r="BS57" s="7"/>
      <c r="BT57" s="7"/>
      <c r="BU57" s="7">
        <f t="shared" si="15"/>
        <v>0</v>
      </c>
      <c r="BV57" s="7">
        <v>0</v>
      </c>
      <c r="BW57" s="7">
        <f t="shared" si="16"/>
        <v>0</v>
      </c>
      <c r="BX57" s="7">
        <f t="shared" si="17"/>
        <v>0</v>
      </c>
      <c r="BY57" s="7"/>
      <c r="BZ57" s="7">
        <f t="shared" si="18"/>
        <v>500000</v>
      </c>
      <c r="CA57" s="7">
        <f t="shared" si="19"/>
        <v>500000</v>
      </c>
      <c r="CB57" s="15">
        <f t="shared" si="2"/>
        <v>0</v>
      </c>
      <c r="CC57" s="15">
        <f t="shared" si="3"/>
        <v>0</v>
      </c>
      <c r="CD57" s="489" t="s">
        <v>721</v>
      </c>
      <c r="CE57" s="27">
        <v>0</v>
      </c>
      <c r="CF57" s="33">
        <v>0</v>
      </c>
      <c r="CG57" s="33"/>
      <c r="CH57" s="33"/>
      <c r="CI57" s="36"/>
      <c r="CJ57" s="7">
        <f t="shared" ref="CJ57:CJ84" si="94">CI57</f>
        <v>0</v>
      </c>
      <c r="CK57" s="36"/>
      <c r="CL57" s="7">
        <f>CK57</f>
        <v>0</v>
      </c>
      <c r="CM57" s="36"/>
      <c r="CN57" s="36"/>
      <c r="CO57" s="7">
        <f t="shared" ref="CO57:CO65" si="95">CM57+CN57</f>
        <v>0</v>
      </c>
      <c r="CP57" s="7">
        <f t="shared" ref="CP57:CP80" si="96">CI57+CK57+CM57</f>
        <v>0</v>
      </c>
      <c r="CQ57" s="7">
        <f t="shared" ref="CQ57:CQ80" si="97">CJ57+CL57+CO57</f>
        <v>0</v>
      </c>
      <c r="CR57" s="36"/>
      <c r="CS57" s="36"/>
      <c r="CT57" s="7">
        <f t="shared" ref="CT57:CT78" si="98">CR57+CS57</f>
        <v>0</v>
      </c>
      <c r="CU57" s="36">
        <v>23472.6</v>
      </c>
      <c r="CV57" s="36"/>
      <c r="CW57" s="7">
        <f t="shared" ref="CW57:CW65" si="99">CU57+CV57</f>
        <v>23472.6</v>
      </c>
      <c r="CX57" s="36"/>
      <c r="CY57" s="36"/>
      <c r="CZ57" s="7">
        <f t="shared" ref="CZ57:CZ65" si="100">CX57+CY57</f>
        <v>0</v>
      </c>
      <c r="DA57" s="36"/>
      <c r="DB57" s="7">
        <f t="shared" ref="DB57:DB84" si="101">DA57</f>
        <v>0</v>
      </c>
      <c r="DC57" s="36"/>
      <c r="DD57" s="7">
        <f t="shared" ref="DD57:DD84" si="102">DC57</f>
        <v>0</v>
      </c>
      <c r="DE57" s="36"/>
      <c r="DF57" s="7">
        <f t="shared" ref="DF57:DF84" si="103">DE57</f>
        <v>0</v>
      </c>
      <c r="DG57" s="36"/>
      <c r="DH57" s="7">
        <f t="shared" ref="DH57:DH84" si="104">DG57</f>
        <v>0</v>
      </c>
      <c r="DI57" s="36"/>
      <c r="DJ57" s="7">
        <f t="shared" ref="DJ57:DJ84" si="105">DI57</f>
        <v>0</v>
      </c>
      <c r="DK57" s="36"/>
      <c r="DL57" s="7">
        <f t="shared" ref="DL57:DL84" si="106">DK57</f>
        <v>0</v>
      </c>
      <c r="DM57" s="36"/>
      <c r="DN57" s="14">
        <f t="shared" ref="DN57:DN65" si="107">CI57+CK57+CM57+CR57+CU57+CX57+DA57+DC57+DE57+DG57+DI57+DK57</f>
        <v>23472.6</v>
      </c>
      <c r="DO57" s="14">
        <f t="shared" ref="DO57:DO65" si="108">CJ57+CL57+CO57+CT57+CW57+CZ57</f>
        <v>23472.6</v>
      </c>
      <c r="DP57" s="7"/>
      <c r="DQ57" s="7">
        <f t="shared" ref="DQ57:DQ65" si="109">AG57-DN57</f>
        <v>476527.4</v>
      </c>
      <c r="DR57" s="7">
        <f t="shared" ref="DR57:DR65" si="110">AG57-DO57</f>
        <v>476527.4</v>
      </c>
      <c r="DS57" s="15">
        <f>DN57/AG57</f>
        <v>4.6945199999999999E-2</v>
      </c>
      <c r="DT57" s="15">
        <f>DO57/AG57</f>
        <v>4.6945199999999999E-2</v>
      </c>
      <c r="DU57" s="300"/>
      <c r="DV57" s="300"/>
      <c r="DW57" s="33"/>
      <c r="DX57" s="36"/>
      <c r="DY57" s="109"/>
    </row>
    <row r="58" spans="1:129" s="1" customFormat="1">
      <c r="A58" s="10" t="s">
        <v>30</v>
      </c>
      <c r="B58" s="24" t="s">
        <v>81</v>
      </c>
      <c r="C58" s="8" t="s">
        <v>228</v>
      </c>
      <c r="D58" s="24"/>
      <c r="E58" s="26">
        <v>415025</v>
      </c>
      <c r="F58" s="406">
        <v>4</v>
      </c>
      <c r="G58" s="412" t="s">
        <v>187</v>
      </c>
      <c r="H58" s="406">
        <v>1511</v>
      </c>
      <c r="I58" s="9" t="s">
        <v>41</v>
      </c>
      <c r="J58" s="10" t="s">
        <v>72</v>
      </c>
      <c r="K58" s="3">
        <v>4</v>
      </c>
      <c r="L58" s="11" t="s">
        <v>187</v>
      </c>
      <c r="M58" s="45"/>
      <c r="N58" s="11" t="s">
        <v>186</v>
      </c>
      <c r="O58" s="3" t="s">
        <v>190</v>
      </c>
      <c r="P58" s="11" t="s">
        <v>187</v>
      </c>
      <c r="Q58" s="11" t="s">
        <v>187</v>
      </c>
      <c r="R58" s="3">
        <v>270</v>
      </c>
      <c r="S58" s="3" t="s">
        <v>188</v>
      </c>
      <c r="T58" s="12" t="s">
        <v>26</v>
      </c>
      <c r="U58" s="12" t="s">
        <v>222</v>
      </c>
      <c r="V58" s="12"/>
      <c r="W58" s="12" t="s">
        <v>5</v>
      </c>
      <c r="X58" s="8" t="s">
        <v>53</v>
      </c>
      <c r="Y58" s="13" t="s">
        <v>98</v>
      </c>
      <c r="Z58" s="25" t="s">
        <v>92</v>
      </c>
      <c r="AA58" s="10" t="s">
        <v>557</v>
      </c>
      <c r="AB58" s="12" t="s">
        <v>8</v>
      </c>
      <c r="AC58" s="115">
        <f>15000000+750000+5000000-3500000-7000000-5000000</f>
        <v>5250000</v>
      </c>
      <c r="AD58" s="115">
        <v>-250000</v>
      </c>
      <c r="AE58" s="7">
        <f>AC58+AD58</f>
        <v>5000000</v>
      </c>
      <c r="AF58" s="7"/>
      <c r="AG58" s="33">
        <f t="shared" si="93"/>
        <v>5000000</v>
      </c>
      <c r="AH58" s="33"/>
      <c r="AI58" s="7">
        <f t="shared" si="92"/>
        <v>5000000</v>
      </c>
      <c r="AJ58" s="62"/>
      <c r="AK58" s="27">
        <f>7000000+2000000-8000000</f>
        <v>1000000</v>
      </c>
      <c r="AL58" s="36">
        <v>0</v>
      </c>
      <c r="AM58" s="27">
        <v>0</v>
      </c>
      <c r="AN58" s="7">
        <f t="shared" si="4"/>
        <v>0</v>
      </c>
      <c r="AO58" s="27"/>
      <c r="AP58" s="27"/>
      <c r="AQ58" s="7">
        <f t="shared" si="5"/>
        <v>0</v>
      </c>
      <c r="AR58" s="27"/>
      <c r="AS58" s="27"/>
      <c r="AT58" s="7">
        <f t="shared" si="6"/>
        <v>0</v>
      </c>
      <c r="AU58" s="7"/>
      <c r="AV58" s="7"/>
      <c r="AW58" s="7">
        <f t="shared" si="7"/>
        <v>0</v>
      </c>
      <c r="AX58" s="7"/>
      <c r="AY58" s="7"/>
      <c r="AZ58" s="7">
        <f t="shared" si="8"/>
        <v>0</v>
      </c>
      <c r="BA58" s="7"/>
      <c r="BB58" s="7"/>
      <c r="BC58" s="7">
        <f t="shared" si="9"/>
        <v>0</v>
      </c>
      <c r="BD58" s="7"/>
      <c r="BE58" s="7"/>
      <c r="BF58" s="7">
        <f t="shared" si="10"/>
        <v>0</v>
      </c>
      <c r="BG58" s="7"/>
      <c r="BH58" s="7"/>
      <c r="BI58" s="7">
        <f t="shared" si="11"/>
        <v>0</v>
      </c>
      <c r="BJ58" s="7"/>
      <c r="BK58" s="7"/>
      <c r="BL58" s="7">
        <f t="shared" si="12"/>
        <v>0</v>
      </c>
      <c r="BM58" s="7"/>
      <c r="BN58" s="7"/>
      <c r="BO58" s="7">
        <f t="shared" si="13"/>
        <v>0</v>
      </c>
      <c r="BP58" s="7"/>
      <c r="BQ58" s="7"/>
      <c r="BR58" s="7">
        <f t="shared" si="14"/>
        <v>0</v>
      </c>
      <c r="BS58" s="7"/>
      <c r="BT58" s="7"/>
      <c r="BU58" s="7">
        <f t="shared" si="15"/>
        <v>0</v>
      </c>
      <c r="BV58" s="7">
        <v>0</v>
      </c>
      <c r="BW58" s="7">
        <f t="shared" si="16"/>
        <v>0</v>
      </c>
      <c r="BX58" s="7">
        <f t="shared" si="17"/>
        <v>0</v>
      </c>
      <c r="BY58" s="7"/>
      <c r="BZ58" s="7">
        <f t="shared" si="18"/>
        <v>1000000</v>
      </c>
      <c r="CA58" s="7">
        <f t="shared" si="19"/>
        <v>1000000</v>
      </c>
      <c r="CB58" s="15">
        <f t="shared" si="2"/>
        <v>0</v>
      </c>
      <c r="CC58" s="15">
        <f t="shared" si="3"/>
        <v>0</v>
      </c>
      <c r="CD58" s="489"/>
      <c r="CE58" s="115">
        <v>12000000</v>
      </c>
      <c r="CF58" s="33">
        <v>12000000</v>
      </c>
      <c r="CG58" s="33"/>
      <c r="CH58" s="33"/>
      <c r="CI58" s="115"/>
      <c r="CJ58" s="7">
        <f t="shared" si="94"/>
        <v>0</v>
      </c>
      <c r="CK58" s="115"/>
      <c r="CL58" s="7">
        <f>CK58</f>
        <v>0</v>
      </c>
      <c r="CM58" s="115">
        <v>581900</v>
      </c>
      <c r="CN58" s="115"/>
      <c r="CO58" s="7">
        <f t="shared" si="95"/>
        <v>581900</v>
      </c>
      <c r="CP58" s="7">
        <f t="shared" si="96"/>
        <v>581900</v>
      </c>
      <c r="CQ58" s="7">
        <f t="shared" si="97"/>
        <v>581900</v>
      </c>
      <c r="CR58" s="115">
        <v>1191020</v>
      </c>
      <c r="CS58" s="115"/>
      <c r="CT58" s="7">
        <f t="shared" si="98"/>
        <v>1191020</v>
      </c>
      <c r="CU58" s="115">
        <v>574780.65</v>
      </c>
      <c r="CV58" s="115"/>
      <c r="CW58" s="7">
        <f t="shared" si="99"/>
        <v>574780.65</v>
      </c>
      <c r="CX58" s="115">
        <v>553836.65</v>
      </c>
      <c r="CY58" s="115"/>
      <c r="CZ58" s="7">
        <f t="shared" si="100"/>
        <v>553836.65</v>
      </c>
      <c r="DA58" s="115"/>
      <c r="DB58" s="7">
        <f t="shared" si="101"/>
        <v>0</v>
      </c>
      <c r="DC58" s="115"/>
      <c r="DD58" s="7">
        <f t="shared" si="102"/>
        <v>0</v>
      </c>
      <c r="DE58" s="115"/>
      <c r="DF58" s="7">
        <f t="shared" si="103"/>
        <v>0</v>
      </c>
      <c r="DG58" s="115"/>
      <c r="DH58" s="7">
        <f t="shared" si="104"/>
        <v>0</v>
      </c>
      <c r="DI58" s="115"/>
      <c r="DJ58" s="7">
        <f t="shared" si="105"/>
        <v>0</v>
      </c>
      <c r="DK58" s="115"/>
      <c r="DL58" s="7">
        <f t="shared" si="106"/>
        <v>0</v>
      </c>
      <c r="DM58" s="115">
        <v>1548136.26</v>
      </c>
      <c r="DN58" s="14">
        <f t="shared" si="107"/>
        <v>2901537.3</v>
      </c>
      <c r="DO58" s="14">
        <f t="shared" si="108"/>
        <v>2901537.3</v>
      </c>
      <c r="DP58" s="7"/>
      <c r="DQ58" s="7">
        <f t="shared" si="109"/>
        <v>2098462.7000000002</v>
      </c>
      <c r="DR58" s="7">
        <f t="shared" si="110"/>
        <v>2098462.7000000002</v>
      </c>
      <c r="DS58" s="15">
        <f>DN58/AG58</f>
        <v>0.58030746</v>
      </c>
      <c r="DT58" s="15">
        <f>DO58/AG58</f>
        <v>0.58030746</v>
      </c>
      <c r="DU58" s="300"/>
      <c r="DV58" s="300"/>
      <c r="DW58" s="33"/>
      <c r="DX58" s="36"/>
      <c r="DY58" s="109"/>
    </row>
    <row r="59" spans="1:129" s="1" customFormat="1" ht="24.75" customHeight="1">
      <c r="A59" s="10" t="s">
        <v>30</v>
      </c>
      <c r="B59" s="24" t="s">
        <v>81</v>
      </c>
      <c r="C59" s="8" t="s">
        <v>228</v>
      </c>
      <c r="D59" s="24"/>
      <c r="E59" s="26">
        <v>415025</v>
      </c>
      <c r="F59" s="406">
        <v>4</v>
      </c>
      <c r="G59" s="412" t="s">
        <v>187</v>
      </c>
      <c r="H59" s="407">
        <v>1512</v>
      </c>
      <c r="I59" s="9" t="s">
        <v>41</v>
      </c>
      <c r="J59" s="10" t="s">
        <v>72</v>
      </c>
      <c r="K59" s="3">
        <v>4</v>
      </c>
      <c r="L59" s="11" t="s">
        <v>187</v>
      </c>
      <c r="M59" s="45"/>
      <c r="N59" s="11" t="s">
        <v>186</v>
      </c>
      <c r="O59" s="3" t="s">
        <v>190</v>
      </c>
      <c r="P59" s="11" t="s">
        <v>187</v>
      </c>
      <c r="Q59" s="11" t="s">
        <v>187</v>
      </c>
      <c r="R59" s="3">
        <v>270</v>
      </c>
      <c r="S59" s="3" t="s">
        <v>188</v>
      </c>
      <c r="T59" s="12" t="s">
        <v>26</v>
      </c>
      <c r="U59" s="12" t="s">
        <v>222</v>
      </c>
      <c r="V59" s="12"/>
      <c r="W59" s="12" t="s">
        <v>5</v>
      </c>
      <c r="X59" s="8" t="s">
        <v>53</v>
      </c>
      <c r="Y59" s="13" t="s">
        <v>98</v>
      </c>
      <c r="Z59" s="25" t="s">
        <v>92</v>
      </c>
      <c r="AA59" s="10" t="s">
        <v>556</v>
      </c>
      <c r="AB59" s="12" t="s">
        <v>8</v>
      </c>
      <c r="AC59" s="115"/>
      <c r="AD59" s="115"/>
      <c r="AE59" s="7"/>
      <c r="AF59" s="7"/>
      <c r="AG59" s="33"/>
      <c r="AH59" s="33"/>
      <c r="AI59" s="7"/>
      <c r="AJ59" s="62"/>
      <c r="AK59" s="27">
        <v>2400000</v>
      </c>
      <c r="AL59" s="36">
        <v>0</v>
      </c>
      <c r="AM59" s="27">
        <v>0</v>
      </c>
      <c r="AN59" s="7">
        <f t="shared" si="4"/>
        <v>0</v>
      </c>
      <c r="AO59" s="27"/>
      <c r="AP59" s="27"/>
      <c r="AQ59" s="7">
        <f t="shared" si="5"/>
        <v>0</v>
      </c>
      <c r="AR59" s="27"/>
      <c r="AS59" s="27"/>
      <c r="AT59" s="7">
        <f t="shared" si="6"/>
        <v>0</v>
      </c>
      <c r="AU59" s="7"/>
      <c r="AV59" s="7"/>
      <c r="AW59" s="7">
        <f t="shared" si="7"/>
        <v>0</v>
      </c>
      <c r="AX59" s="7"/>
      <c r="AY59" s="7"/>
      <c r="AZ59" s="7">
        <f t="shared" si="8"/>
        <v>0</v>
      </c>
      <c r="BA59" s="7"/>
      <c r="BB59" s="7"/>
      <c r="BC59" s="7">
        <f t="shared" si="9"/>
        <v>0</v>
      </c>
      <c r="BD59" s="7"/>
      <c r="BE59" s="7"/>
      <c r="BF59" s="7">
        <f t="shared" si="10"/>
        <v>0</v>
      </c>
      <c r="BG59" s="7"/>
      <c r="BH59" s="7"/>
      <c r="BI59" s="7">
        <f t="shared" si="11"/>
        <v>0</v>
      </c>
      <c r="BJ59" s="7"/>
      <c r="BK59" s="7"/>
      <c r="BL59" s="7">
        <f t="shared" si="12"/>
        <v>0</v>
      </c>
      <c r="BM59" s="7"/>
      <c r="BN59" s="7"/>
      <c r="BO59" s="7">
        <f t="shared" si="13"/>
        <v>0</v>
      </c>
      <c r="BP59" s="7"/>
      <c r="BQ59" s="7"/>
      <c r="BR59" s="7">
        <f t="shared" si="14"/>
        <v>0</v>
      </c>
      <c r="BS59" s="7"/>
      <c r="BT59" s="7"/>
      <c r="BU59" s="7">
        <f t="shared" si="15"/>
        <v>0</v>
      </c>
      <c r="BV59" s="7">
        <v>0</v>
      </c>
      <c r="BW59" s="7">
        <f t="shared" si="16"/>
        <v>0</v>
      </c>
      <c r="BX59" s="7">
        <f t="shared" si="17"/>
        <v>0</v>
      </c>
      <c r="BY59" s="7"/>
      <c r="BZ59" s="7">
        <f t="shared" si="18"/>
        <v>2400000</v>
      </c>
      <c r="CA59" s="7">
        <f t="shared" si="19"/>
        <v>2400000</v>
      </c>
      <c r="CB59" s="15">
        <f t="shared" si="2"/>
        <v>0</v>
      </c>
      <c r="CC59" s="15">
        <f t="shared" si="3"/>
        <v>0</v>
      </c>
      <c r="CD59" s="489" t="s">
        <v>722</v>
      </c>
      <c r="CE59" s="115">
        <v>0</v>
      </c>
      <c r="CF59" s="33">
        <v>0</v>
      </c>
      <c r="CG59" s="33"/>
      <c r="CH59" s="33"/>
      <c r="CI59" s="115"/>
      <c r="CJ59" s="7"/>
      <c r="CK59" s="115"/>
      <c r="CL59" s="7"/>
      <c r="CM59" s="115"/>
      <c r="CN59" s="115"/>
      <c r="CO59" s="7"/>
      <c r="CP59" s="7"/>
      <c r="CQ59" s="7"/>
      <c r="CR59" s="115"/>
      <c r="CS59" s="115"/>
      <c r="CT59" s="7"/>
      <c r="CU59" s="115"/>
      <c r="CV59" s="115"/>
      <c r="CW59" s="7"/>
      <c r="CX59" s="115"/>
      <c r="CY59" s="115"/>
      <c r="CZ59" s="7"/>
      <c r="DA59" s="115"/>
      <c r="DB59" s="7"/>
      <c r="DC59" s="115"/>
      <c r="DD59" s="7"/>
      <c r="DE59" s="115"/>
      <c r="DF59" s="7"/>
      <c r="DG59" s="115"/>
      <c r="DH59" s="7"/>
      <c r="DI59" s="115"/>
      <c r="DJ59" s="7"/>
      <c r="DK59" s="115"/>
      <c r="DL59" s="7"/>
      <c r="DM59" s="115"/>
      <c r="DN59" s="14"/>
      <c r="DO59" s="14"/>
      <c r="DP59" s="7"/>
      <c r="DQ59" s="7"/>
      <c r="DR59" s="7"/>
      <c r="DS59" s="15"/>
      <c r="DT59" s="15"/>
      <c r="DU59" s="300"/>
      <c r="DV59" s="300"/>
      <c r="DW59" s="33"/>
      <c r="DX59" s="36"/>
      <c r="DY59" s="109"/>
    </row>
    <row r="60" spans="1:129" s="1" customFormat="1" ht="27.75" customHeight="1">
      <c r="A60" s="10" t="s">
        <v>30</v>
      </c>
      <c r="B60" s="24" t="s">
        <v>81</v>
      </c>
      <c r="C60" s="8" t="s">
        <v>228</v>
      </c>
      <c r="D60" s="24"/>
      <c r="E60" s="26">
        <v>415025</v>
      </c>
      <c r="F60" s="406">
        <v>4</v>
      </c>
      <c r="G60" s="412" t="s">
        <v>187</v>
      </c>
      <c r="H60" s="406">
        <v>1513</v>
      </c>
      <c r="I60" s="9" t="s">
        <v>41</v>
      </c>
      <c r="J60" s="10" t="s">
        <v>72</v>
      </c>
      <c r="K60" s="3">
        <v>4</v>
      </c>
      <c r="L60" s="11" t="s">
        <v>187</v>
      </c>
      <c r="M60" s="45"/>
      <c r="N60" s="11" t="s">
        <v>186</v>
      </c>
      <c r="O60" s="3" t="s">
        <v>190</v>
      </c>
      <c r="P60" s="11" t="s">
        <v>187</v>
      </c>
      <c r="Q60" s="11" t="s">
        <v>187</v>
      </c>
      <c r="R60" s="3">
        <v>270</v>
      </c>
      <c r="S60" s="3" t="s">
        <v>188</v>
      </c>
      <c r="T60" s="12" t="s">
        <v>26</v>
      </c>
      <c r="U60" s="12" t="s">
        <v>222</v>
      </c>
      <c r="V60" s="12"/>
      <c r="W60" s="12" t="s">
        <v>5</v>
      </c>
      <c r="X60" s="8" t="s">
        <v>53</v>
      </c>
      <c r="Y60" s="13" t="s">
        <v>98</v>
      </c>
      <c r="Z60" s="25" t="s">
        <v>92</v>
      </c>
      <c r="AA60" s="10" t="s">
        <v>176</v>
      </c>
      <c r="AB60" s="12" t="s">
        <v>8</v>
      </c>
      <c r="AC60" s="115">
        <v>0</v>
      </c>
      <c r="AD60" s="115"/>
      <c r="AE60" s="7">
        <f>AC60+AD60</f>
        <v>0</v>
      </c>
      <c r="AF60" s="7"/>
      <c r="AG60" s="33">
        <f t="shared" si="93"/>
        <v>0</v>
      </c>
      <c r="AH60" s="33"/>
      <c r="AI60" s="7">
        <f t="shared" si="92"/>
        <v>0</v>
      </c>
      <c r="AJ60" s="62"/>
      <c r="AK60" s="27">
        <f>4000000+2000000-2000000-2000000</f>
        <v>2000000</v>
      </c>
      <c r="AL60" s="36">
        <v>0</v>
      </c>
      <c r="AM60" s="27">
        <v>0</v>
      </c>
      <c r="AN60" s="7">
        <f t="shared" si="4"/>
        <v>0</v>
      </c>
      <c r="AO60" s="27"/>
      <c r="AP60" s="27"/>
      <c r="AQ60" s="7">
        <f t="shared" si="5"/>
        <v>0</v>
      </c>
      <c r="AR60" s="27"/>
      <c r="AS60" s="27"/>
      <c r="AT60" s="7">
        <f t="shared" si="6"/>
        <v>0</v>
      </c>
      <c r="AU60" s="7"/>
      <c r="AV60" s="7"/>
      <c r="AW60" s="7">
        <f t="shared" si="7"/>
        <v>0</v>
      </c>
      <c r="AX60" s="7"/>
      <c r="AY60" s="7"/>
      <c r="AZ60" s="7">
        <f t="shared" si="8"/>
        <v>0</v>
      </c>
      <c r="BA60" s="7"/>
      <c r="BB60" s="7"/>
      <c r="BC60" s="7">
        <f t="shared" si="9"/>
        <v>0</v>
      </c>
      <c r="BD60" s="7"/>
      <c r="BE60" s="7"/>
      <c r="BF60" s="7">
        <f t="shared" si="10"/>
        <v>0</v>
      </c>
      <c r="BG60" s="7"/>
      <c r="BH60" s="7"/>
      <c r="BI60" s="7">
        <f t="shared" si="11"/>
        <v>0</v>
      </c>
      <c r="BJ60" s="7"/>
      <c r="BK60" s="7"/>
      <c r="BL60" s="7">
        <f t="shared" si="12"/>
        <v>0</v>
      </c>
      <c r="BM60" s="7"/>
      <c r="BN60" s="7"/>
      <c r="BO60" s="7">
        <f t="shared" si="13"/>
        <v>0</v>
      </c>
      <c r="BP60" s="7"/>
      <c r="BQ60" s="7"/>
      <c r="BR60" s="7">
        <f t="shared" si="14"/>
        <v>0</v>
      </c>
      <c r="BS60" s="7"/>
      <c r="BT60" s="7"/>
      <c r="BU60" s="7">
        <f t="shared" si="15"/>
        <v>0</v>
      </c>
      <c r="BV60" s="7">
        <v>0</v>
      </c>
      <c r="BW60" s="7">
        <f t="shared" si="16"/>
        <v>0</v>
      </c>
      <c r="BX60" s="7">
        <f t="shared" si="17"/>
        <v>0</v>
      </c>
      <c r="BY60" s="7"/>
      <c r="BZ60" s="7">
        <f t="shared" si="18"/>
        <v>2000000</v>
      </c>
      <c r="CA60" s="7">
        <f t="shared" si="19"/>
        <v>2000000</v>
      </c>
      <c r="CB60" s="15">
        <f t="shared" si="2"/>
        <v>0</v>
      </c>
      <c r="CC60" s="15">
        <f t="shared" si="3"/>
        <v>0</v>
      </c>
      <c r="CD60" s="489" t="s">
        <v>723</v>
      </c>
      <c r="CE60" s="115">
        <v>4000000</v>
      </c>
      <c r="CF60" s="33">
        <v>4000000</v>
      </c>
      <c r="CG60" s="33"/>
      <c r="CH60" s="33"/>
      <c r="CI60" s="115"/>
      <c r="CJ60" s="7">
        <f>CI60</f>
        <v>0</v>
      </c>
      <c r="CK60" s="115"/>
      <c r="CL60" s="7">
        <f>CK60</f>
        <v>0</v>
      </c>
      <c r="CM60" s="115"/>
      <c r="CN60" s="115"/>
      <c r="CO60" s="7">
        <f t="shared" si="95"/>
        <v>0</v>
      </c>
      <c r="CP60" s="7">
        <f t="shared" si="96"/>
        <v>0</v>
      </c>
      <c r="CQ60" s="7">
        <f t="shared" si="97"/>
        <v>0</v>
      </c>
      <c r="CR60" s="115"/>
      <c r="CS60" s="115"/>
      <c r="CT60" s="7">
        <f t="shared" si="98"/>
        <v>0</v>
      </c>
      <c r="CU60" s="115"/>
      <c r="CV60" s="115"/>
      <c r="CW60" s="7">
        <f t="shared" si="99"/>
        <v>0</v>
      </c>
      <c r="CX60" s="115"/>
      <c r="CY60" s="115"/>
      <c r="CZ60" s="7">
        <f t="shared" si="100"/>
        <v>0</v>
      </c>
      <c r="DA60" s="115"/>
      <c r="DB60" s="7">
        <f>DA60</f>
        <v>0</v>
      </c>
      <c r="DC60" s="115"/>
      <c r="DD60" s="7">
        <f>DC60</f>
        <v>0</v>
      </c>
      <c r="DE60" s="115"/>
      <c r="DF60" s="7">
        <f>DE60</f>
        <v>0</v>
      </c>
      <c r="DG60" s="115"/>
      <c r="DH60" s="7">
        <f>DG60</f>
        <v>0</v>
      </c>
      <c r="DI60" s="115"/>
      <c r="DJ60" s="7">
        <f>DI60</f>
        <v>0</v>
      </c>
      <c r="DK60" s="115"/>
      <c r="DL60" s="7">
        <f>DK60</f>
        <v>0</v>
      </c>
      <c r="DM60" s="115"/>
      <c r="DN60" s="14">
        <f t="shared" si="107"/>
        <v>0</v>
      </c>
      <c r="DO60" s="14">
        <f t="shared" si="108"/>
        <v>0</v>
      </c>
      <c r="DP60" s="7"/>
      <c r="DQ60" s="7">
        <f t="shared" si="109"/>
        <v>0</v>
      </c>
      <c r="DR60" s="7">
        <f t="shared" si="110"/>
        <v>0</v>
      </c>
      <c r="DS60" s="15" t="e">
        <f>DN60/AG60</f>
        <v>#DIV/0!</v>
      </c>
      <c r="DT60" s="15" t="e">
        <f>DO60/AG60</f>
        <v>#DIV/0!</v>
      </c>
      <c r="DU60" s="15"/>
      <c r="DV60" s="15"/>
      <c r="DW60" s="7"/>
      <c r="DX60" s="12"/>
      <c r="DY60" s="109"/>
    </row>
    <row r="61" spans="1:129" s="1" customFormat="1" ht="23.25" customHeight="1">
      <c r="A61" s="10" t="s">
        <v>30</v>
      </c>
      <c r="B61" s="24" t="s">
        <v>81</v>
      </c>
      <c r="C61" s="8" t="s">
        <v>228</v>
      </c>
      <c r="D61" s="24"/>
      <c r="E61" s="26">
        <v>415025</v>
      </c>
      <c r="F61" s="406">
        <v>4</v>
      </c>
      <c r="G61" s="412" t="s">
        <v>187</v>
      </c>
      <c r="H61" s="407">
        <v>1514</v>
      </c>
      <c r="I61" s="9" t="s">
        <v>41</v>
      </c>
      <c r="J61" s="10" t="s">
        <v>72</v>
      </c>
      <c r="K61" s="3">
        <v>4</v>
      </c>
      <c r="L61" s="11" t="s">
        <v>187</v>
      </c>
      <c r="M61" s="45"/>
      <c r="N61" s="11" t="s">
        <v>186</v>
      </c>
      <c r="O61" s="3" t="s">
        <v>190</v>
      </c>
      <c r="P61" s="11" t="s">
        <v>187</v>
      </c>
      <c r="Q61" s="11" t="s">
        <v>187</v>
      </c>
      <c r="R61" s="3">
        <v>270</v>
      </c>
      <c r="S61" s="3" t="s">
        <v>188</v>
      </c>
      <c r="T61" s="12" t="s">
        <v>26</v>
      </c>
      <c r="U61" s="12" t="s">
        <v>222</v>
      </c>
      <c r="V61" s="12"/>
      <c r="W61" s="12" t="s">
        <v>5</v>
      </c>
      <c r="X61" s="8" t="s">
        <v>53</v>
      </c>
      <c r="Y61" s="13" t="s">
        <v>98</v>
      </c>
      <c r="Z61" s="25" t="s">
        <v>92</v>
      </c>
      <c r="AA61" s="10" t="s">
        <v>177</v>
      </c>
      <c r="AB61" s="12" t="s">
        <v>8</v>
      </c>
      <c r="AC61" s="115">
        <v>1000000</v>
      </c>
      <c r="AD61" s="115"/>
      <c r="AE61" s="7">
        <f>AC61+AD61</f>
        <v>1000000</v>
      </c>
      <c r="AF61" s="7"/>
      <c r="AG61" s="33">
        <f t="shared" si="93"/>
        <v>1000000</v>
      </c>
      <c r="AH61" s="33"/>
      <c r="AI61" s="7">
        <f t="shared" si="92"/>
        <v>1000000</v>
      </c>
      <c r="AJ61" s="62"/>
      <c r="AK61" s="27">
        <f>4000000-2000000</f>
        <v>2000000</v>
      </c>
      <c r="AL61" s="36">
        <v>0</v>
      </c>
      <c r="AM61" s="27">
        <v>0</v>
      </c>
      <c r="AN61" s="7">
        <f t="shared" si="4"/>
        <v>0</v>
      </c>
      <c r="AO61" s="27"/>
      <c r="AP61" s="27"/>
      <c r="AQ61" s="7">
        <f t="shared" si="5"/>
        <v>0</v>
      </c>
      <c r="AR61" s="27"/>
      <c r="AS61" s="27"/>
      <c r="AT61" s="7">
        <f t="shared" si="6"/>
        <v>0</v>
      </c>
      <c r="AU61" s="7"/>
      <c r="AV61" s="7"/>
      <c r="AW61" s="7">
        <f t="shared" si="7"/>
        <v>0</v>
      </c>
      <c r="AX61" s="7"/>
      <c r="AY61" s="7"/>
      <c r="AZ61" s="7">
        <f t="shared" si="8"/>
        <v>0</v>
      </c>
      <c r="BA61" s="7"/>
      <c r="BB61" s="7"/>
      <c r="BC61" s="7">
        <f t="shared" si="9"/>
        <v>0</v>
      </c>
      <c r="BD61" s="7"/>
      <c r="BE61" s="7"/>
      <c r="BF61" s="7">
        <f t="shared" si="10"/>
        <v>0</v>
      </c>
      <c r="BG61" s="7"/>
      <c r="BH61" s="7"/>
      <c r="BI61" s="7">
        <f t="shared" si="11"/>
        <v>0</v>
      </c>
      <c r="BJ61" s="7"/>
      <c r="BK61" s="7"/>
      <c r="BL61" s="7">
        <f t="shared" si="12"/>
        <v>0</v>
      </c>
      <c r="BM61" s="7"/>
      <c r="BN61" s="7"/>
      <c r="BO61" s="7">
        <f t="shared" si="13"/>
        <v>0</v>
      </c>
      <c r="BP61" s="7"/>
      <c r="BQ61" s="7"/>
      <c r="BR61" s="7">
        <f t="shared" si="14"/>
        <v>0</v>
      </c>
      <c r="BS61" s="7"/>
      <c r="BT61" s="7"/>
      <c r="BU61" s="7">
        <f t="shared" si="15"/>
        <v>0</v>
      </c>
      <c r="BV61" s="7">
        <v>0</v>
      </c>
      <c r="BW61" s="7">
        <f t="shared" si="16"/>
        <v>0</v>
      </c>
      <c r="BX61" s="7">
        <f t="shared" si="17"/>
        <v>0</v>
      </c>
      <c r="BY61" s="7"/>
      <c r="BZ61" s="7">
        <f t="shared" si="18"/>
        <v>2000000</v>
      </c>
      <c r="CA61" s="7">
        <f t="shared" si="19"/>
        <v>2000000</v>
      </c>
      <c r="CB61" s="15">
        <f t="shared" si="2"/>
        <v>0</v>
      </c>
      <c r="CC61" s="15">
        <f t="shared" si="3"/>
        <v>0</v>
      </c>
      <c r="CD61" s="489" t="s">
        <v>724</v>
      </c>
      <c r="CE61" s="115">
        <f>3000000-3000000</f>
        <v>0</v>
      </c>
      <c r="CF61" s="33">
        <f>3000000-3000000</f>
        <v>0</v>
      </c>
      <c r="CG61" s="33"/>
      <c r="CH61" s="33"/>
      <c r="CI61" s="115"/>
      <c r="CJ61" s="7">
        <f t="shared" si="94"/>
        <v>0</v>
      </c>
      <c r="CK61" s="115"/>
      <c r="CL61" s="7">
        <f>CK61</f>
        <v>0</v>
      </c>
      <c r="CM61" s="115"/>
      <c r="CN61" s="115"/>
      <c r="CO61" s="7">
        <f t="shared" si="95"/>
        <v>0</v>
      </c>
      <c r="CP61" s="7">
        <f t="shared" si="96"/>
        <v>0</v>
      </c>
      <c r="CQ61" s="7">
        <f t="shared" si="97"/>
        <v>0</v>
      </c>
      <c r="CR61" s="115">
        <v>491628.54</v>
      </c>
      <c r="CS61" s="115"/>
      <c r="CT61" s="7">
        <f t="shared" si="98"/>
        <v>491628.54</v>
      </c>
      <c r="CU61" s="115">
        <v>295850.02</v>
      </c>
      <c r="CV61" s="115"/>
      <c r="CW61" s="7">
        <f t="shared" si="99"/>
        <v>295850.02</v>
      </c>
      <c r="CX61" s="115">
        <v>110520</v>
      </c>
      <c r="CY61" s="115"/>
      <c r="CZ61" s="7">
        <f t="shared" si="100"/>
        <v>110520</v>
      </c>
      <c r="DA61" s="115"/>
      <c r="DB61" s="7">
        <f t="shared" si="101"/>
        <v>0</v>
      </c>
      <c r="DC61" s="115"/>
      <c r="DD61" s="7">
        <f t="shared" si="102"/>
        <v>0</v>
      </c>
      <c r="DE61" s="115"/>
      <c r="DF61" s="7">
        <f t="shared" si="103"/>
        <v>0</v>
      </c>
      <c r="DG61" s="115"/>
      <c r="DH61" s="7">
        <f t="shared" si="104"/>
        <v>0</v>
      </c>
      <c r="DI61" s="115"/>
      <c r="DJ61" s="7">
        <f t="shared" si="105"/>
        <v>0</v>
      </c>
      <c r="DK61" s="115"/>
      <c r="DL61" s="7">
        <f t="shared" si="106"/>
        <v>0</v>
      </c>
      <c r="DM61" s="115">
        <v>82826.350000000006</v>
      </c>
      <c r="DN61" s="14">
        <f t="shared" si="107"/>
        <v>897998.56</v>
      </c>
      <c r="DO61" s="14">
        <f t="shared" si="108"/>
        <v>897998.56</v>
      </c>
      <c r="DP61" s="7"/>
      <c r="DQ61" s="7">
        <f t="shared" si="109"/>
        <v>102001.43999999994</v>
      </c>
      <c r="DR61" s="7">
        <f t="shared" si="110"/>
        <v>102001.43999999994</v>
      </c>
      <c r="DS61" s="15">
        <f>DN61/AG61</f>
        <v>0.89799856</v>
      </c>
      <c r="DT61" s="15">
        <f>DO61/AG61</f>
        <v>0.89799856</v>
      </c>
      <c r="DU61" s="300"/>
      <c r="DV61" s="300"/>
      <c r="DW61" s="33"/>
      <c r="DX61" s="36"/>
      <c r="DY61" s="109"/>
    </row>
    <row r="62" spans="1:129" s="1" customFormat="1" ht="30.75">
      <c r="A62" s="10" t="s">
        <v>30</v>
      </c>
      <c r="B62" s="24" t="s">
        <v>81</v>
      </c>
      <c r="C62" s="8" t="s">
        <v>228</v>
      </c>
      <c r="D62" s="24"/>
      <c r="E62" s="26">
        <v>415025</v>
      </c>
      <c r="F62" s="406">
        <v>4</v>
      </c>
      <c r="G62" s="412" t="s">
        <v>187</v>
      </c>
      <c r="H62" s="406">
        <v>1515</v>
      </c>
      <c r="I62" s="9" t="s">
        <v>41</v>
      </c>
      <c r="J62" s="10" t="s">
        <v>72</v>
      </c>
      <c r="K62" s="3">
        <v>4</v>
      </c>
      <c r="L62" s="11" t="s">
        <v>187</v>
      </c>
      <c r="M62" s="45"/>
      <c r="N62" s="11" t="s">
        <v>186</v>
      </c>
      <c r="O62" s="3" t="s">
        <v>190</v>
      </c>
      <c r="P62" s="11" t="s">
        <v>187</v>
      </c>
      <c r="Q62" s="11" t="s">
        <v>187</v>
      </c>
      <c r="R62" s="3">
        <v>270</v>
      </c>
      <c r="S62" s="3" t="s">
        <v>188</v>
      </c>
      <c r="T62" s="12" t="s">
        <v>26</v>
      </c>
      <c r="U62" s="12" t="s">
        <v>222</v>
      </c>
      <c r="V62" s="12"/>
      <c r="W62" s="12" t="s">
        <v>5</v>
      </c>
      <c r="X62" s="8" t="s">
        <v>53</v>
      </c>
      <c r="Y62" s="13" t="s">
        <v>98</v>
      </c>
      <c r="Z62" s="25" t="s">
        <v>92</v>
      </c>
      <c r="AA62" s="10" t="s">
        <v>494</v>
      </c>
      <c r="AB62" s="12" t="s">
        <v>8</v>
      </c>
      <c r="AC62" s="115"/>
      <c r="AD62" s="115"/>
      <c r="AE62" s="7"/>
      <c r="AF62" s="7"/>
      <c r="AG62" s="33"/>
      <c r="AH62" s="33"/>
      <c r="AI62" s="7"/>
      <c r="AJ62" s="62"/>
      <c r="AK62" s="27">
        <f>3000000-2500000</f>
        <v>500000</v>
      </c>
      <c r="AL62" s="36">
        <v>0</v>
      </c>
      <c r="AM62" s="27">
        <v>0</v>
      </c>
      <c r="AN62" s="7">
        <f t="shared" ref="AN62:AN128" si="111">AL62+AM62</f>
        <v>0</v>
      </c>
      <c r="AO62" s="27"/>
      <c r="AP62" s="27"/>
      <c r="AQ62" s="7">
        <f t="shared" ref="AQ62:AQ128" si="112">AO62+AP62</f>
        <v>0</v>
      </c>
      <c r="AR62" s="27"/>
      <c r="AS62" s="27"/>
      <c r="AT62" s="7">
        <f t="shared" ref="AT62:AT128" si="113">AR62+AS62</f>
        <v>0</v>
      </c>
      <c r="AU62" s="7"/>
      <c r="AV62" s="7"/>
      <c r="AW62" s="7">
        <f t="shared" ref="AW62:AW128" si="114">AU62+AV62</f>
        <v>0</v>
      </c>
      <c r="AX62" s="7"/>
      <c r="AY62" s="7"/>
      <c r="AZ62" s="7">
        <f t="shared" ref="AZ62:AZ128" si="115">AX62+AY62</f>
        <v>0</v>
      </c>
      <c r="BA62" s="7"/>
      <c r="BB62" s="7"/>
      <c r="BC62" s="7">
        <f t="shared" ref="BC62:BC128" si="116">BA62+BB62</f>
        <v>0</v>
      </c>
      <c r="BD62" s="7"/>
      <c r="BE62" s="7"/>
      <c r="BF62" s="7">
        <f t="shared" ref="BF62:BF128" si="117">BD62+BE62</f>
        <v>0</v>
      </c>
      <c r="BG62" s="7"/>
      <c r="BH62" s="7"/>
      <c r="BI62" s="7">
        <f t="shared" ref="BI62:BI128" si="118">BG62+BH62</f>
        <v>0</v>
      </c>
      <c r="BJ62" s="7"/>
      <c r="BK62" s="7"/>
      <c r="BL62" s="7">
        <f t="shared" ref="BL62:BL128" si="119">BJ62+BK62</f>
        <v>0</v>
      </c>
      <c r="BM62" s="7"/>
      <c r="BN62" s="7"/>
      <c r="BO62" s="7">
        <f t="shared" ref="BO62:BO128" si="120">BM62+BN62</f>
        <v>0</v>
      </c>
      <c r="BP62" s="7"/>
      <c r="BQ62" s="7"/>
      <c r="BR62" s="7">
        <f t="shared" ref="BR62:BR128" si="121">BP62+BQ62</f>
        <v>0</v>
      </c>
      <c r="BS62" s="7"/>
      <c r="BT62" s="7"/>
      <c r="BU62" s="7">
        <f t="shared" ref="BU62:BU128" si="122">BS62+BT62</f>
        <v>0</v>
      </c>
      <c r="BV62" s="7">
        <v>0</v>
      </c>
      <c r="BW62" s="7">
        <f t="shared" ref="BW62:BW128" si="123">AL62+AO62+AR62++AU62+AX62+BA62+BD62+BG62+BJ62+BM62+BP62+BS62</f>
        <v>0</v>
      </c>
      <c r="BX62" s="7">
        <f t="shared" ref="BX62:BX128" si="124">AN62+AQ62+AT62+AW62+AZ62+BC62+BF62+BI62+BL62+BO62+BR62+BU62</f>
        <v>0</v>
      </c>
      <c r="BY62" s="7"/>
      <c r="BZ62" s="7">
        <f t="shared" ref="BZ62:BZ128" si="125">AK62-BW62</f>
        <v>500000</v>
      </c>
      <c r="CA62" s="7">
        <f t="shared" ref="CA62:CA128" si="126">AK62-BX62</f>
        <v>500000</v>
      </c>
      <c r="CB62" s="15">
        <f t="shared" ref="CB62:CB130" si="127">BW62/AK62</f>
        <v>0</v>
      </c>
      <c r="CC62" s="15">
        <f t="shared" ref="CC62:CC130" si="128">BX62/AK62</f>
        <v>0</v>
      </c>
      <c r="CD62" s="489" t="s">
        <v>725</v>
      </c>
      <c r="CE62" s="115">
        <f>1000000+1000000</f>
        <v>2000000</v>
      </c>
      <c r="CF62" s="115">
        <f>1000000+1000000</f>
        <v>2000000</v>
      </c>
      <c r="CG62" s="33"/>
      <c r="CH62" s="33"/>
      <c r="CI62" s="115"/>
      <c r="CJ62" s="7"/>
      <c r="CK62" s="115"/>
      <c r="CL62" s="7"/>
      <c r="CM62" s="115"/>
      <c r="CN62" s="115"/>
      <c r="CO62" s="7"/>
      <c r="CP62" s="7"/>
      <c r="CQ62" s="7"/>
      <c r="CR62" s="115"/>
      <c r="CS62" s="115"/>
      <c r="CT62" s="7"/>
      <c r="CU62" s="115"/>
      <c r="CV62" s="115"/>
      <c r="CW62" s="7"/>
      <c r="CX62" s="115"/>
      <c r="CY62" s="115"/>
      <c r="CZ62" s="7"/>
      <c r="DA62" s="115"/>
      <c r="DB62" s="7"/>
      <c r="DC62" s="115"/>
      <c r="DD62" s="7"/>
      <c r="DE62" s="115"/>
      <c r="DF62" s="7"/>
      <c r="DG62" s="115"/>
      <c r="DH62" s="7"/>
      <c r="DI62" s="115"/>
      <c r="DJ62" s="7"/>
      <c r="DK62" s="115"/>
      <c r="DL62" s="7"/>
      <c r="DM62" s="115"/>
      <c r="DN62" s="14"/>
      <c r="DO62" s="14"/>
      <c r="DP62" s="7"/>
      <c r="DQ62" s="7"/>
      <c r="DR62" s="7"/>
      <c r="DS62" s="15"/>
      <c r="DT62" s="15"/>
      <c r="DU62" s="300"/>
      <c r="DV62" s="300"/>
      <c r="DW62" s="33"/>
      <c r="DX62" s="36"/>
      <c r="DY62" s="109"/>
    </row>
    <row r="63" spans="1:129" s="1" customFormat="1" ht="30.75" customHeight="1">
      <c r="A63" s="10" t="s">
        <v>30</v>
      </c>
      <c r="B63" s="24" t="s">
        <v>81</v>
      </c>
      <c r="C63" s="8" t="s">
        <v>633</v>
      </c>
      <c r="D63" s="24"/>
      <c r="E63" s="26">
        <v>420005</v>
      </c>
      <c r="F63" s="407">
        <v>4</v>
      </c>
      <c r="G63" s="407">
        <v>28</v>
      </c>
      <c r="H63" s="407">
        <v>1501</v>
      </c>
      <c r="I63" s="9" t="s">
        <v>41</v>
      </c>
      <c r="J63" s="10" t="s">
        <v>72</v>
      </c>
      <c r="K63" s="3">
        <v>4</v>
      </c>
      <c r="L63" s="3">
        <v>28</v>
      </c>
      <c r="M63" s="45"/>
      <c r="N63" s="3" t="s">
        <v>186</v>
      </c>
      <c r="O63" s="3" t="s">
        <v>190</v>
      </c>
      <c r="P63" s="11" t="s">
        <v>187</v>
      </c>
      <c r="Q63" s="11" t="s">
        <v>187</v>
      </c>
      <c r="R63" s="3">
        <v>270</v>
      </c>
      <c r="S63" s="3" t="s">
        <v>188</v>
      </c>
      <c r="T63" s="12" t="s">
        <v>26</v>
      </c>
      <c r="U63" s="12" t="s">
        <v>222</v>
      </c>
      <c r="V63" s="12"/>
      <c r="W63" s="12" t="s">
        <v>5</v>
      </c>
      <c r="X63" s="8" t="s">
        <v>53</v>
      </c>
      <c r="Y63" s="13" t="s">
        <v>98</v>
      </c>
      <c r="Z63" s="25" t="s">
        <v>92</v>
      </c>
      <c r="AA63" s="10" t="s">
        <v>125</v>
      </c>
      <c r="AB63" s="12" t="s">
        <v>124</v>
      </c>
      <c r="AC63" s="115">
        <v>100000</v>
      </c>
      <c r="AD63" s="115"/>
      <c r="AE63" s="7">
        <f>AC63+AD63</f>
        <v>100000</v>
      </c>
      <c r="AF63" s="7"/>
      <c r="AG63" s="33">
        <f t="shared" si="93"/>
        <v>100000</v>
      </c>
      <c r="AH63" s="33"/>
      <c r="AI63" s="7">
        <f t="shared" si="92"/>
        <v>100000</v>
      </c>
      <c r="AJ63" s="62"/>
      <c r="AK63" s="27">
        <v>100000</v>
      </c>
      <c r="AL63" s="36">
        <v>0</v>
      </c>
      <c r="AM63" s="27">
        <v>0</v>
      </c>
      <c r="AN63" s="7">
        <f t="shared" si="111"/>
        <v>0</v>
      </c>
      <c r="AO63" s="27"/>
      <c r="AP63" s="27"/>
      <c r="AQ63" s="7">
        <f t="shared" si="112"/>
        <v>0</v>
      </c>
      <c r="AR63" s="27"/>
      <c r="AS63" s="27"/>
      <c r="AT63" s="7">
        <f t="shared" si="113"/>
        <v>0</v>
      </c>
      <c r="AU63" s="7"/>
      <c r="AV63" s="7"/>
      <c r="AW63" s="7">
        <f t="shared" si="114"/>
        <v>0</v>
      </c>
      <c r="AX63" s="7"/>
      <c r="AY63" s="7"/>
      <c r="AZ63" s="7">
        <f t="shared" si="115"/>
        <v>0</v>
      </c>
      <c r="BA63" s="7"/>
      <c r="BB63" s="7"/>
      <c r="BC63" s="7">
        <f t="shared" si="116"/>
        <v>0</v>
      </c>
      <c r="BD63" s="7"/>
      <c r="BE63" s="7"/>
      <c r="BF63" s="7">
        <f t="shared" si="117"/>
        <v>0</v>
      </c>
      <c r="BG63" s="7"/>
      <c r="BH63" s="7"/>
      <c r="BI63" s="7">
        <f t="shared" si="118"/>
        <v>0</v>
      </c>
      <c r="BJ63" s="7"/>
      <c r="BK63" s="7"/>
      <c r="BL63" s="7">
        <f t="shared" si="119"/>
        <v>0</v>
      </c>
      <c r="BM63" s="7"/>
      <c r="BN63" s="7"/>
      <c r="BO63" s="7">
        <f t="shared" si="120"/>
        <v>0</v>
      </c>
      <c r="BP63" s="7"/>
      <c r="BQ63" s="7"/>
      <c r="BR63" s="7">
        <f t="shared" si="121"/>
        <v>0</v>
      </c>
      <c r="BS63" s="7"/>
      <c r="BT63" s="7"/>
      <c r="BU63" s="7">
        <f t="shared" si="122"/>
        <v>0</v>
      </c>
      <c r="BV63" s="7">
        <v>0</v>
      </c>
      <c r="BW63" s="7">
        <f t="shared" si="123"/>
        <v>0</v>
      </c>
      <c r="BX63" s="7">
        <f t="shared" si="124"/>
        <v>0</v>
      </c>
      <c r="BY63" s="7"/>
      <c r="BZ63" s="7">
        <f t="shared" si="125"/>
        <v>100000</v>
      </c>
      <c r="CA63" s="7">
        <f t="shared" si="126"/>
        <v>100000</v>
      </c>
      <c r="CB63" s="15">
        <f t="shared" si="127"/>
        <v>0</v>
      </c>
      <c r="CC63" s="15">
        <f t="shared" si="128"/>
        <v>0</v>
      </c>
      <c r="CD63" s="489" t="s">
        <v>759</v>
      </c>
      <c r="CE63" s="115">
        <v>100000</v>
      </c>
      <c r="CF63" s="33">
        <v>0</v>
      </c>
      <c r="CG63" s="33"/>
      <c r="CH63" s="33"/>
      <c r="CI63" s="115"/>
      <c r="CJ63" s="7">
        <f t="shared" si="94"/>
        <v>0</v>
      </c>
      <c r="CK63" s="115"/>
      <c r="CL63" s="7">
        <f>CK63</f>
        <v>0</v>
      </c>
      <c r="CM63" s="115"/>
      <c r="CN63" s="115">
        <v>0</v>
      </c>
      <c r="CO63" s="7">
        <f t="shared" si="95"/>
        <v>0</v>
      </c>
      <c r="CP63" s="7">
        <f t="shared" si="96"/>
        <v>0</v>
      </c>
      <c r="CQ63" s="7">
        <f t="shared" si="97"/>
        <v>0</v>
      </c>
      <c r="CR63" s="115"/>
      <c r="CS63" s="115"/>
      <c r="CT63" s="7">
        <f t="shared" si="98"/>
        <v>0</v>
      </c>
      <c r="CU63" s="115"/>
      <c r="CV63" s="115"/>
      <c r="CW63" s="7">
        <f t="shared" si="99"/>
        <v>0</v>
      </c>
      <c r="CX63" s="115">
        <v>19673.599999999999</v>
      </c>
      <c r="CY63" s="115">
        <v>2754.3</v>
      </c>
      <c r="CZ63" s="7">
        <f t="shared" si="100"/>
        <v>22427.899999999998</v>
      </c>
      <c r="DA63" s="115"/>
      <c r="DB63" s="7">
        <f t="shared" si="101"/>
        <v>0</v>
      </c>
      <c r="DC63" s="115"/>
      <c r="DD63" s="7">
        <f t="shared" si="102"/>
        <v>0</v>
      </c>
      <c r="DE63" s="115"/>
      <c r="DF63" s="7">
        <f t="shared" si="103"/>
        <v>0</v>
      </c>
      <c r="DG63" s="115"/>
      <c r="DH63" s="7">
        <f t="shared" si="104"/>
        <v>0</v>
      </c>
      <c r="DI63" s="115"/>
      <c r="DJ63" s="7">
        <f t="shared" si="105"/>
        <v>0</v>
      </c>
      <c r="DK63" s="115"/>
      <c r="DL63" s="7">
        <f t="shared" si="106"/>
        <v>0</v>
      </c>
      <c r="DM63" s="115">
        <v>65646.91</v>
      </c>
      <c r="DN63" s="14">
        <f t="shared" si="107"/>
        <v>19673.599999999999</v>
      </c>
      <c r="DO63" s="14">
        <f t="shared" si="108"/>
        <v>22427.899999999998</v>
      </c>
      <c r="DP63" s="7"/>
      <c r="DQ63" s="7">
        <f t="shared" si="109"/>
        <v>80326.399999999994</v>
      </c>
      <c r="DR63" s="7">
        <f t="shared" si="110"/>
        <v>77572.100000000006</v>
      </c>
      <c r="DS63" s="15">
        <f>DN63/AG63</f>
        <v>0.19673599999999999</v>
      </c>
      <c r="DT63" s="15">
        <f>DO63/AG63</f>
        <v>0.22427899999999998</v>
      </c>
      <c r="DU63" s="15"/>
      <c r="DV63" s="15"/>
      <c r="DW63" s="7"/>
      <c r="DX63" s="115"/>
      <c r="DY63" s="109"/>
    </row>
    <row r="64" spans="1:129" s="1" customFormat="1" ht="22.5" customHeight="1">
      <c r="A64" s="10" t="s">
        <v>30</v>
      </c>
      <c r="B64" s="24" t="s">
        <v>80</v>
      </c>
      <c r="C64" s="8" t="s">
        <v>633</v>
      </c>
      <c r="D64" s="24"/>
      <c r="E64" s="26">
        <v>420005</v>
      </c>
      <c r="F64" s="406">
        <v>4</v>
      </c>
      <c r="G64" s="412" t="s">
        <v>187</v>
      </c>
      <c r="H64" s="407">
        <v>1518</v>
      </c>
      <c r="I64" s="9" t="s">
        <v>41</v>
      </c>
      <c r="J64" s="10" t="s">
        <v>72</v>
      </c>
      <c r="K64" s="3">
        <v>4</v>
      </c>
      <c r="L64" s="11" t="s">
        <v>187</v>
      </c>
      <c r="M64" s="45"/>
      <c r="N64" s="11" t="s">
        <v>186</v>
      </c>
      <c r="O64" s="3" t="s">
        <v>190</v>
      </c>
      <c r="P64" s="11" t="s">
        <v>187</v>
      </c>
      <c r="Q64" s="11" t="s">
        <v>187</v>
      </c>
      <c r="R64" s="3">
        <v>270</v>
      </c>
      <c r="S64" s="3" t="s">
        <v>188</v>
      </c>
      <c r="T64" s="12" t="s">
        <v>26</v>
      </c>
      <c r="U64" s="12" t="s">
        <v>222</v>
      </c>
      <c r="V64" s="12"/>
      <c r="W64" s="12" t="s">
        <v>5</v>
      </c>
      <c r="X64" s="8" t="s">
        <v>53</v>
      </c>
      <c r="Y64" s="13" t="s">
        <v>98</v>
      </c>
      <c r="Z64" s="25" t="s">
        <v>92</v>
      </c>
      <c r="AA64" s="10" t="s">
        <v>202</v>
      </c>
      <c r="AB64" s="12" t="s">
        <v>8</v>
      </c>
      <c r="AC64" s="115">
        <f>1500000-1500000</f>
        <v>0</v>
      </c>
      <c r="AD64" s="115"/>
      <c r="AE64" s="7">
        <f>AC64+AD64</f>
        <v>0</v>
      </c>
      <c r="AF64" s="7"/>
      <c r="AG64" s="33">
        <f t="shared" si="93"/>
        <v>0</v>
      </c>
      <c r="AH64" s="33"/>
      <c r="AI64" s="7">
        <f t="shared" si="92"/>
        <v>0</v>
      </c>
      <c r="AJ64" s="62"/>
      <c r="AK64" s="27">
        <v>2000000</v>
      </c>
      <c r="AL64" s="36">
        <v>0</v>
      </c>
      <c r="AM64" s="27">
        <v>0</v>
      </c>
      <c r="AN64" s="7">
        <f t="shared" si="111"/>
        <v>0</v>
      </c>
      <c r="AO64" s="27"/>
      <c r="AP64" s="27"/>
      <c r="AQ64" s="7">
        <f t="shared" si="112"/>
        <v>0</v>
      </c>
      <c r="AR64" s="27"/>
      <c r="AS64" s="27"/>
      <c r="AT64" s="7">
        <f t="shared" si="113"/>
        <v>0</v>
      </c>
      <c r="AU64" s="7"/>
      <c r="AV64" s="7"/>
      <c r="AW64" s="7">
        <f t="shared" si="114"/>
        <v>0</v>
      </c>
      <c r="AX64" s="7"/>
      <c r="AY64" s="7"/>
      <c r="AZ64" s="7">
        <f t="shared" si="115"/>
        <v>0</v>
      </c>
      <c r="BA64" s="7"/>
      <c r="BB64" s="7"/>
      <c r="BC64" s="7">
        <f t="shared" si="116"/>
        <v>0</v>
      </c>
      <c r="BD64" s="7"/>
      <c r="BE64" s="7"/>
      <c r="BF64" s="7">
        <f t="shared" si="117"/>
        <v>0</v>
      </c>
      <c r="BG64" s="7"/>
      <c r="BH64" s="7"/>
      <c r="BI64" s="7">
        <f t="shared" si="118"/>
        <v>0</v>
      </c>
      <c r="BJ64" s="7"/>
      <c r="BK64" s="7"/>
      <c r="BL64" s="7">
        <f t="shared" si="119"/>
        <v>0</v>
      </c>
      <c r="BM64" s="7"/>
      <c r="BN64" s="7"/>
      <c r="BO64" s="7">
        <f t="shared" si="120"/>
        <v>0</v>
      </c>
      <c r="BP64" s="7"/>
      <c r="BQ64" s="7"/>
      <c r="BR64" s="7">
        <f t="shared" si="121"/>
        <v>0</v>
      </c>
      <c r="BS64" s="7"/>
      <c r="BT64" s="7"/>
      <c r="BU64" s="7">
        <f t="shared" si="122"/>
        <v>0</v>
      </c>
      <c r="BV64" s="7">
        <v>0</v>
      </c>
      <c r="BW64" s="7">
        <f t="shared" si="123"/>
        <v>0</v>
      </c>
      <c r="BX64" s="7">
        <f t="shared" si="124"/>
        <v>0</v>
      </c>
      <c r="BY64" s="7"/>
      <c r="BZ64" s="7">
        <f t="shared" si="125"/>
        <v>2000000</v>
      </c>
      <c r="CA64" s="7">
        <f t="shared" si="126"/>
        <v>2000000</v>
      </c>
      <c r="CB64" s="15">
        <f t="shared" si="127"/>
        <v>0</v>
      </c>
      <c r="CC64" s="15">
        <f t="shared" si="128"/>
        <v>0</v>
      </c>
      <c r="CD64" s="489" t="s">
        <v>726</v>
      </c>
      <c r="CE64" s="115">
        <v>1500000</v>
      </c>
      <c r="CF64" s="33">
        <v>1000000</v>
      </c>
      <c r="CG64" s="33"/>
      <c r="CH64" s="33"/>
      <c r="CI64" s="115"/>
      <c r="CJ64" s="7">
        <f t="shared" si="94"/>
        <v>0</v>
      </c>
      <c r="CK64" s="115"/>
      <c r="CL64" s="7">
        <f>CK64</f>
        <v>0</v>
      </c>
      <c r="CM64" s="115"/>
      <c r="CN64" s="115"/>
      <c r="CO64" s="7">
        <f t="shared" si="95"/>
        <v>0</v>
      </c>
      <c r="CP64" s="7">
        <f t="shared" si="96"/>
        <v>0</v>
      </c>
      <c r="CQ64" s="7">
        <f t="shared" si="97"/>
        <v>0</v>
      </c>
      <c r="CR64" s="115"/>
      <c r="CS64" s="115"/>
      <c r="CT64" s="7">
        <f t="shared" si="98"/>
        <v>0</v>
      </c>
      <c r="CU64" s="115"/>
      <c r="CV64" s="115"/>
      <c r="CW64" s="7">
        <f t="shared" si="99"/>
        <v>0</v>
      </c>
      <c r="CX64" s="115"/>
      <c r="CY64" s="115"/>
      <c r="CZ64" s="7">
        <f t="shared" si="100"/>
        <v>0</v>
      </c>
      <c r="DA64" s="115"/>
      <c r="DB64" s="7">
        <f t="shared" si="101"/>
        <v>0</v>
      </c>
      <c r="DC64" s="115"/>
      <c r="DD64" s="7">
        <f t="shared" si="102"/>
        <v>0</v>
      </c>
      <c r="DE64" s="115"/>
      <c r="DF64" s="7">
        <f t="shared" si="103"/>
        <v>0</v>
      </c>
      <c r="DG64" s="115"/>
      <c r="DH64" s="7">
        <f t="shared" si="104"/>
        <v>0</v>
      </c>
      <c r="DI64" s="115"/>
      <c r="DJ64" s="7">
        <f t="shared" si="105"/>
        <v>0</v>
      </c>
      <c r="DK64" s="115"/>
      <c r="DL64" s="7">
        <f t="shared" si="106"/>
        <v>0</v>
      </c>
      <c r="DM64" s="115"/>
      <c r="DN64" s="14">
        <f t="shared" si="107"/>
        <v>0</v>
      </c>
      <c r="DO64" s="14">
        <f t="shared" si="108"/>
        <v>0</v>
      </c>
      <c r="DP64" s="7"/>
      <c r="DQ64" s="7">
        <f t="shared" si="109"/>
        <v>0</v>
      </c>
      <c r="DR64" s="7">
        <f t="shared" si="110"/>
        <v>0</v>
      </c>
      <c r="DS64" s="15" t="e">
        <f>DN64/AG64</f>
        <v>#DIV/0!</v>
      </c>
      <c r="DT64" s="15" t="e">
        <f>DO64/AG64</f>
        <v>#DIV/0!</v>
      </c>
      <c r="DU64" s="15"/>
      <c r="DV64" s="15"/>
      <c r="DW64" s="7"/>
      <c r="DX64" s="115"/>
      <c r="DY64" s="109"/>
    </row>
    <row r="65" spans="1:129" s="1" customFormat="1" ht="60.75">
      <c r="A65" s="10" t="s">
        <v>30</v>
      </c>
      <c r="B65" s="24" t="s">
        <v>258</v>
      </c>
      <c r="C65" s="8" t="s">
        <v>648</v>
      </c>
      <c r="D65" s="24"/>
      <c r="E65" s="26">
        <v>420010</v>
      </c>
      <c r="F65" s="406">
        <v>4</v>
      </c>
      <c r="G65" s="412" t="s">
        <v>187</v>
      </c>
      <c r="H65" s="407">
        <v>1519</v>
      </c>
      <c r="I65" s="9" t="s">
        <v>41</v>
      </c>
      <c r="J65" s="10" t="s">
        <v>72</v>
      </c>
      <c r="K65" s="3">
        <v>4</v>
      </c>
      <c r="L65" s="11" t="s">
        <v>187</v>
      </c>
      <c r="M65" s="45"/>
      <c r="N65" s="11" t="s">
        <v>186</v>
      </c>
      <c r="O65" s="3" t="s">
        <v>190</v>
      </c>
      <c r="P65" s="11" t="s">
        <v>187</v>
      </c>
      <c r="Q65" s="11" t="s">
        <v>187</v>
      </c>
      <c r="R65" s="3">
        <v>312</v>
      </c>
      <c r="S65" s="3" t="s">
        <v>188</v>
      </c>
      <c r="T65" s="12" t="s">
        <v>78</v>
      </c>
      <c r="U65" s="12"/>
      <c r="V65" s="12" t="s">
        <v>222</v>
      </c>
      <c r="W65" s="12" t="s">
        <v>5</v>
      </c>
      <c r="X65" s="8" t="s">
        <v>57</v>
      </c>
      <c r="Y65" s="13" t="s">
        <v>98</v>
      </c>
      <c r="Z65" s="25" t="s">
        <v>92</v>
      </c>
      <c r="AA65" s="10" t="s">
        <v>126</v>
      </c>
      <c r="AB65" s="12" t="s">
        <v>8</v>
      </c>
      <c r="AC65" s="115">
        <f>500000-500000</f>
        <v>0</v>
      </c>
      <c r="AD65" s="115"/>
      <c r="AE65" s="7">
        <f>AC65+AD65</f>
        <v>0</v>
      </c>
      <c r="AF65" s="7"/>
      <c r="AG65" s="33">
        <f t="shared" si="93"/>
        <v>0</v>
      </c>
      <c r="AH65" s="33"/>
      <c r="AI65" s="7">
        <f t="shared" si="92"/>
        <v>0</v>
      </c>
      <c r="AJ65" s="62"/>
      <c r="AK65" s="27">
        <v>2500000</v>
      </c>
      <c r="AL65" s="36">
        <v>0</v>
      </c>
      <c r="AM65" s="27">
        <v>0</v>
      </c>
      <c r="AN65" s="7">
        <f t="shared" si="111"/>
        <v>0</v>
      </c>
      <c r="AO65" s="27"/>
      <c r="AP65" s="27"/>
      <c r="AQ65" s="7">
        <f t="shared" si="112"/>
        <v>0</v>
      </c>
      <c r="AR65" s="27"/>
      <c r="AS65" s="27"/>
      <c r="AT65" s="7">
        <f t="shared" si="113"/>
        <v>0</v>
      </c>
      <c r="AU65" s="7"/>
      <c r="AV65" s="7"/>
      <c r="AW65" s="7">
        <f t="shared" si="114"/>
        <v>0</v>
      </c>
      <c r="AX65" s="7"/>
      <c r="AY65" s="7"/>
      <c r="AZ65" s="7">
        <f t="shared" si="115"/>
        <v>0</v>
      </c>
      <c r="BA65" s="7"/>
      <c r="BB65" s="7"/>
      <c r="BC65" s="7">
        <f t="shared" si="116"/>
        <v>0</v>
      </c>
      <c r="BD65" s="7"/>
      <c r="BE65" s="7"/>
      <c r="BF65" s="7">
        <f t="shared" si="117"/>
        <v>0</v>
      </c>
      <c r="BG65" s="7"/>
      <c r="BH65" s="7"/>
      <c r="BI65" s="7">
        <f t="shared" si="118"/>
        <v>0</v>
      </c>
      <c r="BJ65" s="7"/>
      <c r="BK65" s="7"/>
      <c r="BL65" s="7">
        <f t="shared" si="119"/>
        <v>0</v>
      </c>
      <c r="BM65" s="7"/>
      <c r="BN65" s="7"/>
      <c r="BO65" s="7">
        <f t="shared" si="120"/>
        <v>0</v>
      </c>
      <c r="BP65" s="7"/>
      <c r="BQ65" s="7"/>
      <c r="BR65" s="7">
        <f t="shared" si="121"/>
        <v>0</v>
      </c>
      <c r="BS65" s="7"/>
      <c r="BT65" s="7"/>
      <c r="BU65" s="7">
        <f t="shared" si="122"/>
        <v>0</v>
      </c>
      <c r="BV65" s="7">
        <v>0</v>
      </c>
      <c r="BW65" s="7">
        <f t="shared" si="123"/>
        <v>0</v>
      </c>
      <c r="BX65" s="7">
        <f t="shared" si="124"/>
        <v>0</v>
      </c>
      <c r="BY65" s="7"/>
      <c r="BZ65" s="7">
        <f t="shared" si="125"/>
        <v>2500000</v>
      </c>
      <c r="CA65" s="7">
        <f t="shared" si="126"/>
        <v>2500000</v>
      </c>
      <c r="CB65" s="15">
        <f t="shared" si="127"/>
        <v>0</v>
      </c>
      <c r="CC65" s="15">
        <f t="shared" si="128"/>
        <v>0</v>
      </c>
      <c r="CD65" s="489" t="s">
        <v>760</v>
      </c>
      <c r="CE65" s="115">
        <v>0</v>
      </c>
      <c r="CF65" s="33">
        <v>0</v>
      </c>
      <c r="CG65" s="33"/>
      <c r="CH65" s="33"/>
      <c r="CI65" s="115"/>
      <c r="CJ65" s="7">
        <f t="shared" si="94"/>
        <v>0</v>
      </c>
      <c r="CK65" s="115"/>
      <c r="CL65" s="7">
        <f>CK65</f>
        <v>0</v>
      </c>
      <c r="CM65" s="115"/>
      <c r="CN65" s="115"/>
      <c r="CO65" s="7">
        <f t="shared" si="95"/>
        <v>0</v>
      </c>
      <c r="CP65" s="7">
        <f t="shared" si="96"/>
        <v>0</v>
      </c>
      <c r="CQ65" s="7">
        <f t="shared" si="97"/>
        <v>0</v>
      </c>
      <c r="CR65" s="115"/>
      <c r="CS65" s="115"/>
      <c r="CT65" s="7">
        <f t="shared" si="98"/>
        <v>0</v>
      </c>
      <c r="CU65" s="115"/>
      <c r="CV65" s="115"/>
      <c r="CW65" s="7">
        <f t="shared" si="99"/>
        <v>0</v>
      </c>
      <c r="CX65" s="115"/>
      <c r="CY65" s="115"/>
      <c r="CZ65" s="7">
        <f t="shared" si="100"/>
        <v>0</v>
      </c>
      <c r="DA65" s="115"/>
      <c r="DB65" s="7">
        <f t="shared" si="101"/>
        <v>0</v>
      </c>
      <c r="DC65" s="115"/>
      <c r="DD65" s="7">
        <f t="shared" si="102"/>
        <v>0</v>
      </c>
      <c r="DE65" s="115"/>
      <c r="DF65" s="7">
        <f t="shared" si="103"/>
        <v>0</v>
      </c>
      <c r="DG65" s="115"/>
      <c r="DH65" s="7">
        <f t="shared" si="104"/>
        <v>0</v>
      </c>
      <c r="DI65" s="115"/>
      <c r="DJ65" s="7">
        <f t="shared" si="105"/>
        <v>0</v>
      </c>
      <c r="DK65" s="115"/>
      <c r="DL65" s="7">
        <f t="shared" si="106"/>
        <v>0</v>
      </c>
      <c r="DM65" s="115"/>
      <c r="DN65" s="14">
        <f t="shared" si="107"/>
        <v>0</v>
      </c>
      <c r="DO65" s="14">
        <f t="shared" si="108"/>
        <v>0</v>
      </c>
      <c r="DP65" s="7"/>
      <c r="DQ65" s="7">
        <f t="shared" si="109"/>
        <v>0</v>
      </c>
      <c r="DR65" s="7">
        <f t="shared" si="110"/>
        <v>0</v>
      </c>
      <c r="DS65" s="15" t="e">
        <f>DN65/AG65</f>
        <v>#DIV/0!</v>
      </c>
      <c r="DT65" s="15" t="e">
        <f>DO65/AG65</f>
        <v>#DIV/0!</v>
      </c>
      <c r="DU65" s="15"/>
      <c r="DV65" s="15"/>
      <c r="DW65" s="7"/>
      <c r="DX65" s="120"/>
      <c r="DY65" s="109"/>
    </row>
    <row r="66" spans="1:129" s="1" customFormat="1" ht="18.75" customHeight="1">
      <c r="A66" s="10" t="s">
        <v>30</v>
      </c>
      <c r="B66" s="24"/>
      <c r="C66" s="8" t="s">
        <v>228</v>
      </c>
      <c r="D66" s="24"/>
      <c r="E66" s="3">
        <v>415025</v>
      </c>
      <c r="F66" s="406">
        <v>4</v>
      </c>
      <c r="G66" s="412" t="s">
        <v>187</v>
      </c>
      <c r="H66" s="406">
        <v>1516</v>
      </c>
      <c r="I66" s="9" t="s">
        <v>41</v>
      </c>
      <c r="J66" s="10" t="s">
        <v>72</v>
      </c>
      <c r="K66" s="3">
        <v>4</v>
      </c>
      <c r="L66" s="11" t="s">
        <v>187</v>
      </c>
      <c r="M66" s="45"/>
      <c r="N66" s="11" t="s">
        <v>186</v>
      </c>
      <c r="O66" s="3" t="s">
        <v>190</v>
      </c>
      <c r="P66" s="11" t="s">
        <v>187</v>
      </c>
      <c r="Q66" s="11" t="s">
        <v>187</v>
      </c>
      <c r="R66" s="3">
        <v>270</v>
      </c>
      <c r="S66" s="3" t="s">
        <v>188</v>
      </c>
      <c r="T66" s="12" t="s">
        <v>26</v>
      </c>
      <c r="U66" s="12" t="s">
        <v>222</v>
      </c>
      <c r="V66" s="12"/>
      <c r="W66" s="12" t="s">
        <v>5</v>
      </c>
      <c r="X66" s="12" t="s">
        <v>57</v>
      </c>
      <c r="Y66" s="13" t="s">
        <v>98</v>
      </c>
      <c r="Z66" s="25" t="s">
        <v>92</v>
      </c>
      <c r="AA66" s="10" t="s">
        <v>492</v>
      </c>
      <c r="AB66" s="12" t="s">
        <v>8</v>
      </c>
      <c r="AC66" s="27"/>
      <c r="AD66" s="36"/>
      <c r="AE66" s="7"/>
      <c r="AF66" s="33"/>
      <c r="AG66" s="33">
        <f>AE66+AF66</f>
        <v>0</v>
      </c>
      <c r="AH66" s="33"/>
      <c r="AI66" s="7">
        <f>+AG66+AH66</f>
        <v>0</v>
      </c>
      <c r="AJ66" s="472"/>
      <c r="AK66" s="27">
        <v>800000</v>
      </c>
      <c r="AL66" s="36">
        <v>0</v>
      </c>
      <c r="AM66" s="36">
        <v>0</v>
      </c>
      <c r="AN66" s="7">
        <f t="shared" si="111"/>
        <v>0</v>
      </c>
      <c r="AO66" s="36"/>
      <c r="AP66" s="36"/>
      <c r="AQ66" s="7">
        <f t="shared" si="112"/>
        <v>0</v>
      </c>
      <c r="AR66" s="36"/>
      <c r="AS66" s="36"/>
      <c r="AT66" s="7">
        <f t="shared" si="113"/>
        <v>0</v>
      </c>
      <c r="AU66" s="7"/>
      <c r="AV66" s="7"/>
      <c r="AW66" s="7">
        <f t="shared" si="114"/>
        <v>0</v>
      </c>
      <c r="AX66" s="7"/>
      <c r="AY66" s="7"/>
      <c r="AZ66" s="7">
        <f t="shared" si="115"/>
        <v>0</v>
      </c>
      <c r="BA66" s="7"/>
      <c r="BB66" s="7"/>
      <c r="BC66" s="7">
        <f t="shared" si="116"/>
        <v>0</v>
      </c>
      <c r="BD66" s="7"/>
      <c r="BE66" s="7"/>
      <c r="BF66" s="7">
        <f t="shared" si="117"/>
        <v>0</v>
      </c>
      <c r="BG66" s="7"/>
      <c r="BH66" s="7"/>
      <c r="BI66" s="7">
        <f t="shared" si="118"/>
        <v>0</v>
      </c>
      <c r="BJ66" s="7"/>
      <c r="BK66" s="7"/>
      <c r="BL66" s="7">
        <f t="shared" si="119"/>
        <v>0</v>
      </c>
      <c r="BM66" s="7"/>
      <c r="BN66" s="7"/>
      <c r="BO66" s="7">
        <f t="shared" si="120"/>
        <v>0</v>
      </c>
      <c r="BP66" s="7"/>
      <c r="BQ66" s="7"/>
      <c r="BR66" s="7">
        <f t="shared" si="121"/>
        <v>0</v>
      </c>
      <c r="BS66" s="7"/>
      <c r="BT66" s="7"/>
      <c r="BU66" s="7">
        <f t="shared" si="122"/>
        <v>0</v>
      </c>
      <c r="BV66" s="7">
        <v>0</v>
      </c>
      <c r="BW66" s="7">
        <f t="shared" si="123"/>
        <v>0</v>
      </c>
      <c r="BX66" s="7">
        <f t="shared" si="124"/>
        <v>0</v>
      </c>
      <c r="BY66" s="7"/>
      <c r="BZ66" s="7">
        <f t="shared" si="125"/>
        <v>800000</v>
      </c>
      <c r="CA66" s="7">
        <f t="shared" si="126"/>
        <v>800000</v>
      </c>
      <c r="CB66" s="15">
        <f t="shared" si="127"/>
        <v>0</v>
      </c>
      <c r="CC66" s="15">
        <f t="shared" si="128"/>
        <v>0</v>
      </c>
      <c r="CD66" s="489" t="s">
        <v>723</v>
      </c>
      <c r="CE66" s="27">
        <v>500000</v>
      </c>
      <c r="CF66" s="33">
        <v>200000</v>
      </c>
      <c r="CG66" s="33"/>
      <c r="CH66" s="33"/>
      <c r="CI66" s="36"/>
      <c r="CJ66" s="7"/>
      <c r="CK66" s="36"/>
      <c r="CL66" s="7"/>
      <c r="CM66" s="36"/>
      <c r="CN66" s="36"/>
      <c r="CO66" s="7"/>
      <c r="CP66" s="7"/>
      <c r="CQ66" s="7"/>
      <c r="CR66" s="36"/>
      <c r="CS66" s="36"/>
      <c r="CT66" s="7"/>
      <c r="CU66" s="36"/>
      <c r="CV66" s="36"/>
      <c r="CW66" s="7"/>
      <c r="CX66" s="36"/>
      <c r="CY66" s="36"/>
      <c r="CZ66" s="7"/>
      <c r="DA66" s="36"/>
      <c r="DB66" s="7"/>
      <c r="DC66" s="36"/>
      <c r="DD66" s="7"/>
      <c r="DE66" s="36"/>
      <c r="DF66" s="7"/>
      <c r="DG66" s="36"/>
      <c r="DH66" s="7"/>
      <c r="DI66" s="36"/>
      <c r="DJ66" s="7"/>
      <c r="DK66" s="36"/>
      <c r="DL66" s="7"/>
      <c r="DM66" s="36"/>
      <c r="DN66" s="14"/>
      <c r="DO66" s="14"/>
      <c r="DP66" s="7"/>
      <c r="DQ66" s="7"/>
      <c r="DR66" s="7"/>
      <c r="DS66" s="15"/>
      <c r="DT66" s="15"/>
      <c r="DU66" s="15"/>
      <c r="DV66" s="15"/>
      <c r="DW66" s="7"/>
      <c r="DX66" s="27"/>
      <c r="DY66" s="109"/>
    </row>
    <row r="67" spans="1:129" s="1" customFormat="1" ht="22.5" customHeight="1">
      <c r="A67" s="10" t="s">
        <v>30</v>
      </c>
      <c r="B67" s="24"/>
      <c r="C67" s="8" t="s">
        <v>228</v>
      </c>
      <c r="D67" s="24"/>
      <c r="E67" s="3">
        <v>415025</v>
      </c>
      <c r="F67" s="406">
        <v>4</v>
      </c>
      <c r="G67" s="412" t="s">
        <v>187</v>
      </c>
      <c r="H67" s="406">
        <v>1517</v>
      </c>
      <c r="I67" s="9" t="s">
        <v>41</v>
      </c>
      <c r="J67" s="10" t="s">
        <v>72</v>
      </c>
      <c r="K67" s="3">
        <v>4</v>
      </c>
      <c r="L67" s="11" t="s">
        <v>187</v>
      </c>
      <c r="M67" s="45"/>
      <c r="N67" s="11" t="s">
        <v>186</v>
      </c>
      <c r="O67" s="3" t="s">
        <v>190</v>
      </c>
      <c r="P67" s="11" t="s">
        <v>187</v>
      </c>
      <c r="Q67" s="11" t="s">
        <v>187</v>
      </c>
      <c r="R67" s="3">
        <v>270</v>
      </c>
      <c r="S67" s="3" t="s">
        <v>188</v>
      </c>
      <c r="T67" s="12" t="s">
        <v>26</v>
      </c>
      <c r="U67" s="12" t="s">
        <v>222</v>
      </c>
      <c r="V67" s="12"/>
      <c r="W67" s="12" t="s">
        <v>5</v>
      </c>
      <c r="X67" s="12" t="s">
        <v>57</v>
      </c>
      <c r="Y67" s="13" t="s">
        <v>98</v>
      </c>
      <c r="Z67" s="25" t="s">
        <v>92</v>
      </c>
      <c r="AA67" s="10" t="s">
        <v>493</v>
      </c>
      <c r="AB67" s="12" t="s">
        <v>8</v>
      </c>
      <c r="AC67" s="27"/>
      <c r="AD67" s="36"/>
      <c r="AE67" s="7"/>
      <c r="AF67" s="33"/>
      <c r="AG67" s="33">
        <f>AE67+AF67</f>
        <v>0</v>
      </c>
      <c r="AH67" s="33"/>
      <c r="AI67" s="7">
        <f>+AG67+AH67</f>
        <v>0</v>
      </c>
      <c r="AJ67" s="472"/>
      <c r="AK67" s="27">
        <v>800000</v>
      </c>
      <c r="AL67" s="36">
        <v>0</v>
      </c>
      <c r="AM67" s="36">
        <v>0</v>
      </c>
      <c r="AN67" s="7">
        <f t="shared" si="111"/>
        <v>0</v>
      </c>
      <c r="AO67" s="36"/>
      <c r="AP67" s="36"/>
      <c r="AQ67" s="7">
        <f t="shared" si="112"/>
        <v>0</v>
      </c>
      <c r="AR67" s="36"/>
      <c r="AS67" s="36"/>
      <c r="AT67" s="7">
        <f t="shared" si="113"/>
        <v>0</v>
      </c>
      <c r="AU67" s="7"/>
      <c r="AV67" s="7"/>
      <c r="AW67" s="7">
        <f t="shared" si="114"/>
        <v>0</v>
      </c>
      <c r="AX67" s="7"/>
      <c r="AY67" s="7"/>
      <c r="AZ67" s="7">
        <f t="shared" si="115"/>
        <v>0</v>
      </c>
      <c r="BA67" s="7"/>
      <c r="BB67" s="7"/>
      <c r="BC67" s="7">
        <f t="shared" si="116"/>
        <v>0</v>
      </c>
      <c r="BD67" s="7"/>
      <c r="BE67" s="7"/>
      <c r="BF67" s="7">
        <f t="shared" si="117"/>
        <v>0</v>
      </c>
      <c r="BG67" s="7"/>
      <c r="BH67" s="7"/>
      <c r="BI67" s="7">
        <f t="shared" si="118"/>
        <v>0</v>
      </c>
      <c r="BJ67" s="7"/>
      <c r="BK67" s="7"/>
      <c r="BL67" s="7">
        <f t="shared" si="119"/>
        <v>0</v>
      </c>
      <c r="BM67" s="7"/>
      <c r="BN67" s="7"/>
      <c r="BO67" s="7">
        <f t="shared" si="120"/>
        <v>0</v>
      </c>
      <c r="BP67" s="7"/>
      <c r="BQ67" s="7"/>
      <c r="BR67" s="7">
        <f t="shared" si="121"/>
        <v>0</v>
      </c>
      <c r="BS67" s="7"/>
      <c r="BT67" s="7"/>
      <c r="BU67" s="7">
        <f t="shared" si="122"/>
        <v>0</v>
      </c>
      <c r="BV67" s="7">
        <v>0</v>
      </c>
      <c r="BW67" s="7">
        <f t="shared" si="123"/>
        <v>0</v>
      </c>
      <c r="BX67" s="7">
        <f t="shared" si="124"/>
        <v>0</v>
      </c>
      <c r="BY67" s="7"/>
      <c r="BZ67" s="7">
        <f t="shared" si="125"/>
        <v>800000</v>
      </c>
      <c r="CA67" s="7">
        <f t="shared" si="126"/>
        <v>800000</v>
      </c>
      <c r="CB67" s="15">
        <f t="shared" si="127"/>
        <v>0</v>
      </c>
      <c r="CC67" s="15">
        <f t="shared" si="128"/>
        <v>0</v>
      </c>
      <c r="CD67" s="489" t="s">
        <v>723</v>
      </c>
      <c r="CE67" s="27">
        <v>1500000</v>
      </c>
      <c r="CF67" s="33">
        <v>500000</v>
      </c>
      <c r="CG67" s="33"/>
      <c r="CH67" s="33"/>
      <c r="CI67" s="36"/>
      <c r="CJ67" s="7"/>
      <c r="CK67" s="36"/>
      <c r="CL67" s="7"/>
      <c r="CM67" s="36"/>
      <c r="CN67" s="36"/>
      <c r="CO67" s="7"/>
      <c r="CP67" s="7"/>
      <c r="CQ67" s="7"/>
      <c r="CR67" s="36"/>
      <c r="CS67" s="36"/>
      <c r="CT67" s="7"/>
      <c r="CU67" s="36"/>
      <c r="CV67" s="36"/>
      <c r="CW67" s="7"/>
      <c r="CX67" s="36"/>
      <c r="CY67" s="36"/>
      <c r="CZ67" s="7"/>
      <c r="DA67" s="36"/>
      <c r="DB67" s="7"/>
      <c r="DC67" s="36"/>
      <c r="DD67" s="7"/>
      <c r="DE67" s="36"/>
      <c r="DF67" s="7"/>
      <c r="DG67" s="36"/>
      <c r="DH67" s="7"/>
      <c r="DI67" s="36"/>
      <c r="DJ67" s="7"/>
      <c r="DK67" s="36"/>
      <c r="DL67" s="7"/>
      <c r="DM67" s="36"/>
      <c r="DN67" s="14"/>
      <c r="DO67" s="14"/>
      <c r="DP67" s="7"/>
      <c r="DQ67" s="7"/>
      <c r="DR67" s="7"/>
      <c r="DS67" s="15"/>
      <c r="DT67" s="15"/>
      <c r="DU67" s="15"/>
      <c r="DV67" s="15"/>
      <c r="DW67" s="7"/>
      <c r="DX67" s="27"/>
      <c r="DY67" s="109"/>
    </row>
    <row r="68" spans="1:129" s="1" customFormat="1" ht="16.5" customHeight="1" thickBot="1">
      <c r="A68" s="18"/>
      <c r="B68" s="29"/>
      <c r="C68" s="18"/>
      <c r="D68" s="29"/>
      <c r="E68" s="16"/>
      <c r="F68" s="408"/>
      <c r="G68" s="408"/>
      <c r="H68" s="408"/>
      <c r="I68" s="37"/>
      <c r="J68" s="38"/>
      <c r="K68" s="16"/>
      <c r="L68" s="16"/>
      <c r="M68" s="57"/>
      <c r="N68" s="16"/>
      <c r="O68" s="16"/>
      <c r="P68" s="16"/>
      <c r="Q68" s="16"/>
      <c r="R68" s="16"/>
      <c r="S68" s="16"/>
      <c r="T68" s="28"/>
      <c r="U68" s="28"/>
      <c r="V68" s="28"/>
      <c r="W68" s="28"/>
      <c r="X68" s="28"/>
      <c r="Y68" s="39"/>
      <c r="Z68" s="30"/>
      <c r="AA68" s="55" t="s">
        <v>112</v>
      </c>
      <c r="AB68" s="28"/>
      <c r="AC68" s="42">
        <f>SUM(AC57:AC65)</f>
        <v>6850000</v>
      </c>
      <c r="AD68" s="42">
        <f>SUM(AD57:AD65)</f>
        <v>-250000</v>
      </c>
      <c r="AE68" s="42">
        <f>SUM(AE57:AE65)</f>
        <v>6600000</v>
      </c>
      <c r="AF68" s="42">
        <f>SUM(AF57:AF65)</f>
        <v>0</v>
      </c>
      <c r="AG68" s="42">
        <f t="shared" ref="AG68:CH68" si="129">SUM(AG56:AG67)</f>
        <v>6600000</v>
      </c>
      <c r="AH68" s="42">
        <f t="shared" si="129"/>
        <v>0</v>
      </c>
      <c r="AI68" s="42">
        <f t="shared" si="129"/>
        <v>6600000</v>
      </c>
      <c r="AJ68" s="473">
        <f t="shared" si="129"/>
        <v>0</v>
      </c>
      <c r="AK68" s="42">
        <f t="shared" si="129"/>
        <v>15100000</v>
      </c>
      <c r="AL68" s="478">
        <f t="shared" si="129"/>
        <v>0</v>
      </c>
      <c r="AM68" s="42">
        <f t="shared" si="129"/>
        <v>0</v>
      </c>
      <c r="AN68" s="42">
        <f t="shared" si="129"/>
        <v>0</v>
      </c>
      <c r="AO68" s="42">
        <f t="shared" si="129"/>
        <v>0</v>
      </c>
      <c r="AP68" s="42">
        <f t="shared" si="129"/>
        <v>0</v>
      </c>
      <c r="AQ68" s="42">
        <f t="shared" si="129"/>
        <v>0</v>
      </c>
      <c r="AR68" s="42">
        <f t="shared" si="129"/>
        <v>0</v>
      </c>
      <c r="AS68" s="42">
        <f t="shared" si="129"/>
        <v>0</v>
      </c>
      <c r="AT68" s="42">
        <f t="shared" si="129"/>
        <v>0</v>
      </c>
      <c r="AU68" s="42">
        <f t="shared" si="129"/>
        <v>0</v>
      </c>
      <c r="AV68" s="42">
        <f t="shared" si="129"/>
        <v>0</v>
      </c>
      <c r="AW68" s="42">
        <f t="shared" si="129"/>
        <v>0</v>
      </c>
      <c r="AX68" s="42">
        <f t="shared" si="129"/>
        <v>0</v>
      </c>
      <c r="AY68" s="42">
        <f t="shared" si="129"/>
        <v>0</v>
      </c>
      <c r="AZ68" s="42">
        <f t="shared" si="129"/>
        <v>0</v>
      </c>
      <c r="BA68" s="42">
        <f t="shared" si="129"/>
        <v>0</v>
      </c>
      <c r="BB68" s="42">
        <f t="shared" si="129"/>
        <v>0</v>
      </c>
      <c r="BC68" s="42">
        <f t="shared" si="129"/>
        <v>0</v>
      </c>
      <c r="BD68" s="42">
        <f t="shared" si="129"/>
        <v>0</v>
      </c>
      <c r="BE68" s="42">
        <f t="shared" si="129"/>
        <v>0</v>
      </c>
      <c r="BF68" s="42">
        <f t="shared" si="129"/>
        <v>0</v>
      </c>
      <c r="BG68" s="42">
        <f t="shared" si="129"/>
        <v>0</v>
      </c>
      <c r="BH68" s="42">
        <f t="shared" si="129"/>
        <v>0</v>
      </c>
      <c r="BI68" s="42">
        <f t="shared" si="129"/>
        <v>0</v>
      </c>
      <c r="BJ68" s="42">
        <f t="shared" si="129"/>
        <v>0</v>
      </c>
      <c r="BK68" s="42">
        <f t="shared" si="129"/>
        <v>0</v>
      </c>
      <c r="BL68" s="42">
        <f t="shared" si="129"/>
        <v>0</v>
      </c>
      <c r="BM68" s="42">
        <f t="shared" si="129"/>
        <v>0</v>
      </c>
      <c r="BN68" s="42">
        <f t="shared" si="129"/>
        <v>0</v>
      </c>
      <c r="BO68" s="42">
        <f t="shared" si="129"/>
        <v>0</v>
      </c>
      <c r="BP68" s="42">
        <f t="shared" si="129"/>
        <v>0</v>
      </c>
      <c r="BQ68" s="42">
        <f t="shared" si="129"/>
        <v>0</v>
      </c>
      <c r="BR68" s="42">
        <f t="shared" si="129"/>
        <v>0</v>
      </c>
      <c r="BS68" s="42">
        <f t="shared" si="129"/>
        <v>0</v>
      </c>
      <c r="BT68" s="42">
        <f t="shared" si="129"/>
        <v>0</v>
      </c>
      <c r="BU68" s="42">
        <f t="shared" si="129"/>
        <v>0</v>
      </c>
      <c r="BV68" s="42">
        <f t="shared" si="129"/>
        <v>0</v>
      </c>
      <c r="BW68" s="42">
        <f t="shared" si="129"/>
        <v>0</v>
      </c>
      <c r="BX68" s="42">
        <f t="shared" si="129"/>
        <v>0</v>
      </c>
      <c r="BY68" s="42">
        <f t="shared" si="129"/>
        <v>0</v>
      </c>
      <c r="BZ68" s="42">
        <f t="shared" si="129"/>
        <v>15100000</v>
      </c>
      <c r="CA68" s="42">
        <f t="shared" si="129"/>
        <v>15100000</v>
      </c>
      <c r="CB68" s="21">
        <f t="shared" si="127"/>
        <v>0</v>
      </c>
      <c r="CC68" s="21">
        <f t="shared" si="128"/>
        <v>0</v>
      </c>
      <c r="CD68" s="489"/>
      <c r="CE68" s="42">
        <f t="shared" si="129"/>
        <v>22100000</v>
      </c>
      <c r="CF68" s="42">
        <f t="shared" si="129"/>
        <v>20200000</v>
      </c>
      <c r="CG68" s="42">
        <f t="shared" si="129"/>
        <v>0</v>
      </c>
      <c r="CH68" s="42">
        <f t="shared" si="129"/>
        <v>0</v>
      </c>
      <c r="CI68" s="42">
        <f t="shared" ref="CI68:DR68" si="130">SUM(CI57:CI65)</f>
        <v>0</v>
      </c>
      <c r="CJ68" s="42">
        <f t="shared" si="130"/>
        <v>0</v>
      </c>
      <c r="CK68" s="42">
        <f t="shared" si="130"/>
        <v>0</v>
      </c>
      <c r="CL68" s="42">
        <f t="shared" si="130"/>
        <v>0</v>
      </c>
      <c r="CM68" s="42">
        <f t="shared" si="130"/>
        <v>581900</v>
      </c>
      <c r="CN68" s="42">
        <f t="shared" si="130"/>
        <v>0</v>
      </c>
      <c r="CO68" s="42">
        <f t="shared" si="130"/>
        <v>581900</v>
      </c>
      <c r="CP68" s="42">
        <f t="shared" si="130"/>
        <v>581900</v>
      </c>
      <c r="CQ68" s="42">
        <f t="shared" si="130"/>
        <v>581900</v>
      </c>
      <c r="CR68" s="42">
        <f t="shared" si="130"/>
        <v>1682648.54</v>
      </c>
      <c r="CS68" s="42">
        <f t="shared" si="130"/>
        <v>0</v>
      </c>
      <c r="CT68" s="42">
        <f t="shared" si="130"/>
        <v>1682648.54</v>
      </c>
      <c r="CU68" s="42">
        <f t="shared" si="130"/>
        <v>894103.27</v>
      </c>
      <c r="CV68" s="42">
        <f t="shared" si="130"/>
        <v>0</v>
      </c>
      <c r="CW68" s="42">
        <f t="shared" si="130"/>
        <v>894103.27</v>
      </c>
      <c r="CX68" s="42">
        <f t="shared" si="130"/>
        <v>684030.25</v>
      </c>
      <c r="CY68" s="42">
        <f t="shared" si="130"/>
        <v>2754.3</v>
      </c>
      <c r="CZ68" s="42">
        <f t="shared" si="130"/>
        <v>686784.55</v>
      </c>
      <c r="DA68" s="42">
        <f t="shared" si="130"/>
        <v>0</v>
      </c>
      <c r="DB68" s="42">
        <f t="shared" si="130"/>
        <v>0</v>
      </c>
      <c r="DC68" s="42">
        <f t="shared" si="130"/>
        <v>0</v>
      </c>
      <c r="DD68" s="42">
        <f t="shared" si="130"/>
        <v>0</v>
      </c>
      <c r="DE68" s="42">
        <f t="shared" si="130"/>
        <v>0</v>
      </c>
      <c r="DF68" s="42">
        <f t="shared" si="130"/>
        <v>0</v>
      </c>
      <c r="DG68" s="42">
        <f t="shared" si="130"/>
        <v>0</v>
      </c>
      <c r="DH68" s="42">
        <f t="shared" si="130"/>
        <v>0</v>
      </c>
      <c r="DI68" s="42">
        <f t="shared" si="130"/>
        <v>0</v>
      </c>
      <c r="DJ68" s="42">
        <f t="shared" si="130"/>
        <v>0</v>
      </c>
      <c r="DK68" s="42">
        <f t="shared" si="130"/>
        <v>0</v>
      </c>
      <c r="DL68" s="42">
        <f t="shared" si="130"/>
        <v>0</v>
      </c>
      <c r="DM68" s="42">
        <f t="shared" si="130"/>
        <v>1696609.52</v>
      </c>
      <c r="DN68" s="42">
        <f t="shared" si="130"/>
        <v>3842682.06</v>
      </c>
      <c r="DO68" s="42">
        <f t="shared" si="130"/>
        <v>3845436.36</v>
      </c>
      <c r="DP68" s="42">
        <f t="shared" si="130"/>
        <v>0</v>
      </c>
      <c r="DQ68" s="42">
        <f t="shared" si="130"/>
        <v>2757317.94</v>
      </c>
      <c r="DR68" s="42">
        <f t="shared" si="130"/>
        <v>2754563.64</v>
      </c>
      <c r="DS68" s="21">
        <f>DN68/AG68</f>
        <v>0.58222455454545452</v>
      </c>
      <c r="DT68" s="21">
        <f>DO68/AG68</f>
        <v>0.58264187272727275</v>
      </c>
      <c r="DU68" s="301"/>
      <c r="DV68" s="301"/>
      <c r="DW68" s="42">
        <f>SUM(DW56:DW67)</f>
        <v>0</v>
      </c>
      <c r="DX68" s="121"/>
      <c r="DY68" s="109"/>
    </row>
    <row r="69" spans="1:129" s="1" customFormat="1" ht="15.75" customHeight="1" thickTop="1">
      <c r="A69" s="10"/>
      <c r="B69" s="24"/>
      <c r="C69" s="10"/>
      <c r="D69" s="24"/>
      <c r="E69" s="3"/>
      <c r="F69" s="406"/>
      <c r="G69" s="406"/>
      <c r="H69" s="406"/>
      <c r="I69" s="9"/>
      <c r="J69" s="10"/>
      <c r="K69" s="3"/>
      <c r="L69" s="3"/>
      <c r="M69" s="45"/>
      <c r="N69" s="3"/>
      <c r="O69" s="3"/>
      <c r="P69" s="3"/>
      <c r="Q69" s="3"/>
      <c r="R69" s="3"/>
      <c r="S69" s="3"/>
      <c r="T69" s="12"/>
      <c r="U69" s="12"/>
      <c r="V69" s="12"/>
      <c r="W69" s="12"/>
      <c r="X69" s="12"/>
      <c r="Y69" s="13"/>
      <c r="Z69" s="25"/>
      <c r="AA69" s="10"/>
      <c r="AB69" s="12"/>
      <c r="AC69" s="27"/>
      <c r="AD69" s="27"/>
      <c r="AE69" s="7"/>
      <c r="AF69" s="7"/>
      <c r="AG69" s="7"/>
      <c r="AH69" s="33"/>
      <c r="AI69" s="33"/>
      <c r="AJ69" s="472"/>
      <c r="AK69" s="27"/>
      <c r="AL69" s="36"/>
      <c r="AM69" s="36"/>
      <c r="AN69" s="7"/>
      <c r="AO69" s="36"/>
      <c r="AP69" s="36"/>
      <c r="AQ69" s="7"/>
      <c r="AR69" s="36"/>
      <c r="AS69" s="36"/>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15"/>
      <c r="CC69" s="15"/>
      <c r="CD69" s="489"/>
      <c r="CE69" s="27"/>
      <c r="CF69" s="7"/>
      <c r="CG69" s="7"/>
      <c r="CH69" s="7"/>
      <c r="CI69" s="27"/>
      <c r="CJ69" s="7"/>
      <c r="CK69" s="27"/>
      <c r="CL69" s="7"/>
      <c r="CM69" s="27"/>
      <c r="CN69" s="27"/>
      <c r="CO69" s="7"/>
      <c r="CP69" s="7"/>
      <c r="CQ69" s="7"/>
      <c r="CR69" s="27"/>
      <c r="CS69" s="27"/>
      <c r="CT69" s="7"/>
      <c r="CU69" s="27"/>
      <c r="CV69" s="27"/>
      <c r="CW69" s="7"/>
      <c r="CX69" s="27"/>
      <c r="CY69" s="27"/>
      <c r="CZ69" s="7"/>
      <c r="DA69" s="27"/>
      <c r="DB69" s="7">
        <f t="shared" si="101"/>
        <v>0</v>
      </c>
      <c r="DC69" s="27"/>
      <c r="DD69" s="7">
        <f t="shared" si="102"/>
        <v>0</v>
      </c>
      <c r="DE69" s="27"/>
      <c r="DF69" s="7">
        <f t="shared" si="103"/>
        <v>0</v>
      </c>
      <c r="DG69" s="27"/>
      <c r="DH69" s="7">
        <f t="shared" si="104"/>
        <v>0</v>
      </c>
      <c r="DI69" s="27"/>
      <c r="DJ69" s="7">
        <f t="shared" si="105"/>
        <v>0</v>
      </c>
      <c r="DK69" s="27"/>
      <c r="DL69" s="7">
        <f t="shared" si="106"/>
        <v>0</v>
      </c>
      <c r="DM69" s="27"/>
      <c r="DN69" s="14"/>
      <c r="DO69" s="14"/>
      <c r="DP69" s="7"/>
      <c r="DQ69" s="7"/>
      <c r="DR69" s="7"/>
      <c r="DS69" s="15"/>
      <c r="DT69" s="15"/>
      <c r="DU69" s="15"/>
      <c r="DV69" s="15"/>
      <c r="DW69" s="7"/>
      <c r="DX69" s="123"/>
      <c r="DY69" s="109"/>
    </row>
    <row r="70" spans="1:129" s="10" customFormat="1" ht="15.75" customHeight="1">
      <c r="A70" s="44" t="s">
        <v>50</v>
      </c>
      <c r="B70" s="43"/>
      <c r="C70" s="44"/>
      <c r="D70" s="43"/>
      <c r="E70" s="45"/>
      <c r="F70" s="409"/>
      <c r="G70" s="409"/>
      <c r="H70" s="409"/>
      <c r="I70" s="46"/>
      <c r="J70" s="47"/>
      <c r="K70" s="45"/>
      <c r="L70" s="45"/>
      <c r="M70" s="45"/>
      <c r="N70" s="45"/>
      <c r="O70" s="45"/>
      <c r="P70" s="45"/>
      <c r="Q70" s="45"/>
      <c r="R70" s="45"/>
      <c r="S70" s="45"/>
      <c r="T70" s="12"/>
      <c r="U70" s="12"/>
      <c r="V70" s="12"/>
      <c r="W70" s="48"/>
      <c r="X70" s="48"/>
      <c r="Y70" s="49"/>
      <c r="Z70" s="400"/>
      <c r="AA70" s="392" t="s">
        <v>50</v>
      </c>
      <c r="AB70" s="51"/>
      <c r="AC70" s="52"/>
      <c r="AD70" s="116"/>
      <c r="AE70" s="7"/>
      <c r="AF70" s="33"/>
      <c r="AG70" s="33"/>
      <c r="AH70" s="33"/>
      <c r="AI70" s="33"/>
      <c r="AJ70" s="472"/>
      <c r="AK70" s="59"/>
      <c r="AL70" s="117"/>
      <c r="AM70" s="117"/>
      <c r="AN70" s="7"/>
      <c r="AO70" s="117"/>
      <c r="AP70" s="117"/>
      <c r="AQ70" s="7"/>
      <c r="AR70" s="117"/>
      <c r="AS70" s="11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15"/>
      <c r="CC70" s="15"/>
      <c r="CD70" s="489"/>
      <c r="CE70" s="52"/>
      <c r="CF70" s="33"/>
      <c r="CG70" s="33"/>
      <c r="CH70" s="33"/>
      <c r="CI70" s="116"/>
      <c r="CJ70" s="7"/>
      <c r="CK70" s="116"/>
      <c r="CL70" s="7"/>
      <c r="CM70" s="116"/>
      <c r="CN70" s="116"/>
      <c r="CO70" s="7"/>
      <c r="CP70" s="7"/>
      <c r="CQ70" s="7"/>
      <c r="CR70" s="116"/>
      <c r="CS70" s="116"/>
      <c r="CT70" s="7"/>
      <c r="CU70" s="116"/>
      <c r="CV70" s="116"/>
      <c r="CW70" s="7"/>
      <c r="CX70" s="116"/>
      <c r="CY70" s="116"/>
      <c r="CZ70" s="7"/>
      <c r="DA70" s="116"/>
      <c r="DB70" s="7">
        <f t="shared" si="101"/>
        <v>0</v>
      </c>
      <c r="DC70" s="116"/>
      <c r="DD70" s="7">
        <f t="shared" si="102"/>
        <v>0</v>
      </c>
      <c r="DE70" s="116"/>
      <c r="DF70" s="7">
        <f t="shared" si="103"/>
        <v>0</v>
      </c>
      <c r="DG70" s="116"/>
      <c r="DH70" s="7">
        <f t="shared" si="104"/>
        <v>0</v>
      </c>
      <c r="DI70" s="116"/>
      <c r="DJ70" s="7">
        <f t="shared" si="105"/>
        <v>0</v>
      </c>
      <c r="DK70" s="116"/>
      <c r="DL70" s="7">
        <f t="shared" si="106"/>
        <v>0</v>
      </c>
      <c r="DM70" s="116"/>
      <c r="DN70" s="14"/>
      <c r="DO70" s="14"/>
      <c r="DP70" s="7"/>
      <c r="DQ70" s="7"/>
      <c r="DR70" s="7"/>
      <c r="DS70" s="15"/>
      <c r="DT70" s="15"/>
      <c r="DU70" s="15"/>
      <c r="DV70" s="15"/>
      <c r="DW70" s="7"/>
      <c r="DX70" s="59"/>
      <c r="DY70" s="329"/>
    </row>
    <row r="71" spans="1:129" s="10" customFormat="1" ht="15.75" customHeight="1">
      <c r="A71" s="10" t="s">
        <v>82</v>
      </c>
      <c r="B71" s="319"/>
      <c r="C71" s="8" t="s">
        <v>649</v>
      </c>
      <c r="D71" s="319"/>
      <c r="E71" s="3">
        <v>505005</v>
      </c>
      <c r="F71" s="406">
        <v>4</v>
      </c>
      <c r="G71" s="412" t="s">
        <v>187</v>
      </c>
      <c r="H71" s="406">
        <v>1520</v>
      </c>
      <c r="I71" s="9" t="s">
        <v>36</v>
      </c>
      <c r="J71" s="10" t="s">
        <v>72</v>
      </c>
      <c r="K71" s="3">
        <v>4</v>
      </c>
      <c r="L71" s="11" t="s">
        <v>187</v>
      </c>
      <c r="M71" s="45"/>
      <c r="N71" s="11" t="s">
        <v>186</v>
      </c>
      <c r="O71" s="11" t="s">
        <v>186</v>
      </c>
      <c r="P71" s="3"/>
      <c r="Q71" s="3"/>
      <c r="R71" s="3">
        <v>270</v>
      </c>
      <c r="S71" s="3" t="s">
        <v>188</v>
      </c>
      <c r="T71" s="12" t="s">
        <v>26</v>
      </c>
      <c r="U71" s="12" t="s">
        <v>222</v>
      </c>
      <c r="V71" s="12"/>
      <c r="W71" s="12" t="s">
        <v>5</v>
      </c>
      <c r="X71" s="51"/>
      <c r="Y71" s="13" t="s">
        <v>69</v>
      </c>
      <c r="Z71" s="400" t="s">
        <v>92</v>
      </c>
      <c r="AA71" s="71" t="s">
        <v>293</v>
      </c>
      <c r="AB71" s="12" t="s">
        <v>8</v>
      </c>
      <c r="AC71" s="52"/>
      <c r="AD71" s="116"/>
      <c r="AE71" s="7"/>
      <c r="AF71" s="33"/>
      <c r="AG71" s="33">
        <f>AE71+AF71</f>
        <v>0</v>
      </c>
      <c r="AH71" s="33"/>
      <c r="AI71" s="7">
        <f t="shared" ref="AI71:AI84" si="131">+AG71+AH71</f>
        <v>0</v>
      </c>
      <c r="AJ71" s="472"/>
      <c r="AK71" s="59">
        <v>500000</v>
      </c>
      <c r="AL71" s="117">
        <v>0</v>
      </c>
      <c r="AM71" s="117">
        <v>0</v>
      </c>
      <c r="AN71" s="7">
        <f t="shared" si="111"/>
        <v>0</v>
      </c>
      <c r="AO71" s="117"/>
      <c r="AP71" s="117"/>
      <c r="AQ71" s="7">
        <f t="shared" si="112"/>
        <v>0</v>
      </c>
      <c r="AR71" s="117"/>
      <c r="AS71" s="117"/>
      <c r="AT71" s="7">
        <f t="shared" si="113"/>
        <v>0</v>
      </c>
      <c r="AU71" s="33"/>
      <c r="AV71" s="33"/>
      <c r="AW71" s="7">
        <f t="shared" si="114"/>
        <v>0</v>
      </c>
      <c r="AX71" s="33"/>
      <c r="AY71" s="33"/>
      <c r="AZ71" s="7">
        <f t="shared" si="115"/>
        <v>0</v>
      </c>
      <c r="BA71" s="33"/>
      <c r="BB71" s="33"/>
      <c r="BC71" s="7">
        <f t="shared" si="116"/>
        <v>0</v>
      </c>
      <c r="BD71" s="33"/>
      <c r="BE71" s="33"/>
      <c r="BF71" s="7">
        <f t="shared" si="117"/>
        <v>0</v>
      </c>
      <c r="BG71" s="33"/>
      <c r="BH71" s="33"/>
      <c r="BI71" s="7">
        <f t="shared" si="118"/>
        <v>0</v>
      </c>
      <c r="BJ71" s="33"/>
      <c r="BK71" s="33"/>
      <c r="BL71" s="7">
        <f t="shared" si="119"/>
        <v>0</v>
      </c>
      <c r="BM71" s="33"/>
      <c r="BN71" s="33"/>
      <c r="BO71" s="7">
        <f t="shared" si="120"/>
        <v>0</v>
      </c>
      <c r="BP71" s="33"/>
      <c r="BQ71" s="33"/>
      <c r="BR71" s="7">
        <f t="shared" si="121"/>
        <v>0</v>
      </c>
      <c r="BS71" s="33"/>
      <c r="BT71" s="33"/>
      <c r="BU71" s="7">
        <f t="shared" si="122"/>
        <v>0</v>
      </c>
      <c r="BV71" s="33">
        <v>0</v>
      </c>
      <c r="BW71" s="7">
        <f t="shared" si="123"/>
        <v>0</v>
      </c>
      <c r="BX71" s="7">
        <f t="shared" si="124"/>
        <v>0</v>
      </c>
      <c r="BY71" s="33"/>
      <c r="BZ71" s="7">
        <f t="shared" si="125"/>
        <v>500000</v>
      </c>
      <c r="CA71" s="7">
        <f t="shared" si="126"/>
        <v>500000</v>
      </c>
      <c r="CB71" s="15">
        <f t="shared" si="127"/>
        <v>0</v>
      </c>
      <c r="CC71" s="15">
        <f t="shared" si="128"/>
        <v>0</v>
      </c>
      <c r="CD71" s="490" t="s">
        <v>727</v>
      </c>
      <c r="CE71" s="116">
        <v>500000</v>
      </c>
      <c r="CF71" s="33">
        <v>500000</v>
      </c>
      <c r="CG71" s="33"/>
      <c r="CH71" s="33"/>
      <c r="CI71" s="116"/>
      <c r="CJ71" s="7"/>
      <c r="CK71" s="116"/>
      <c r="CL71" s="7"/>
      <c r="CM71" s="116"/>
      <c r="CN71" s="116"/>
      <c r="CO71" s="7"/>
      <c r="CP71" s="7"/>
      <c r="CQ71" s="7"/>
      <c r="CR71" s="116"/>
      <c r="CS71" s="116"/>
      <c r="CT71" s="7"/>
      <c r="CU71" s="116"/>
      <c r="CV71" s="116"/>
      <c r="CW71" s="7"/>
      <c r="CX71" s="116"/>
      <c r="CY71" s="116"/>
      <c r="CZ71" s="7"/>
      <c r="DA71" s="116"/>
      <c r="DB71" s="7"/>
      <c r="DC71" s="116"/>
      <c r="DD71" s="7"/>
      <c r="DE71" s="116"/>
      <c r="DF71" s="7"/>
      <c r="DG71" s="116"/>
      <c r="DH71" s="7"/>
      <c r="DI71" s="116"/>
      <c r="DJ71" s="7"/>
      <c r="DK71" s="116"/>
      <c r="DL71" s="7"/>
      <c r="DM71" s="116"/>
      <c r="DN71" s="14"/>
      <c r="DO71" s="14"/>
      <c r="DP71" s="7"/>
      <c r="DQ71" s="7"/>
      <c r="DR71" s="7"/>
      <c r="DS71" s="15"/>
      <c r="DT71" s="15"/>
      <c r="DU71" s="15"/>
      <c r="DV71" s="15"/>
      <c r="DW71" s="7"/>
      <c r="DX71" s="59"/>
      <c r="DY71" s="329"/>
    </row>
    <row r="72" spans="1:129" s="10" customFormat="1" ht="15" customHeight="1">
      <c r="A72" s="10" t="s">
        <v>82</v>
      </c>
      <c r="B72" s="24" t="s">
        <v>254</v>
      </c>
      <c r="C72" s="8" t="s">
        <v>230</v>
      </c>
      <c r="D72" s="12" t="s">
        <v>73</v>
      </c>
      <c r="E72" s="3">
        <v>515010</v>
      </c>
      <c r="F72" s="406">
        <v>4</v>
      </c>
      <c r="G72" s="412">
        <v>36</v>
      </c>
      <c r="H72" s="406">
        <v>1520</v>
      </c>
      <c r="I72" s="9" t="s">
        <v>245</v>
      </c>
      <c r="J72" s="10" t="s">
        <v>73</v>
      </c>
      <c r="K72" s="3">
        <v>4</v>
      </c>
      <c r="L72" s="3">
        <v>36</v>
      </c>
      <c r="M72" s="45"/>
      <c r="N72" s="3" t="s">
        <v>186</v>
      </c>
      <c r="O72" s="11" t="s">
        <v>186</v>
      </c>
      <c r="P72" s="3" t="s">
        <v>187</v>
      </c>
      <c r="Q72" s="3" t="s">
        <v>187</v>
      </c>
      <c r="R72" s="11" t="s">
        <v>194</v>
      </c>
      <c r="S72" s="3" t="s">
        <v>188</v>
      </c>
      <c r="T72" s="12" t="s">
        <v>517</v>
      </c>
      <c r="U72" s="12"/>
      <c r="V72" s="12" t="s">
        <v>222</v>
      </c>
      <c r="W72" s="12" t="s">
        <v>44</v>
      </c>
      <c r="X72" s="8" t="s">
        <v>54</v>
      </c>
      <c r="Y72" s="13" t="s">
        <v>69</v>
      </c>
      <c r="Z72" s="25" t="s">
        <v>182</v>
      </c>
      <c r="AA72" s="10" t="s">
        <v>422</v>
      </c>
      <c r="AB72" s="110" t="s">
        <v>37</v>
      </c>
      <c r="AC72" s="7">
        <f>156854000-5000000-40000000-40000000-5000000-10700000-3000000-1000000-5800000-5000000-3500000</f>
        <v>37854000</v>
      </c>
      <c r="AD72" s="33"/>
      <c r="AE72" s="7">
        <f>AC72+AD72</f>
        <v>37854000</v>
      </c>
      <c r="AF72" s="33">
        <v>20000000</v>
      </c>
      <c r="AG72" s="33">
        <f>AE72+AF72</f>
        <v>57854000</v>
      </c>
      <c r="AH72" s="33"/>
      <c r="AI72" s="7">
        <f t="shared" si="131"/>
        <v>57854000</v>
      </c>
      <c r="AJ72" s="472"/>
      <c r="AK72" s="7">
        <f>171757892-1000000+5750000</f>
        <v>176507892</v>
      </c>
      <c r="AL72" s="33">
        <f>76820-276650.91</f>
        <v>-199830.90999999997</v>
      </c>
      <c r="AM72" s="33">
        <v>0</v>
      </c>
      <c r="AN72" s="7">
        <f t="shared" si="111"/>
        <v>-199830.90999999997</v>
      </c>
      <c r="AO72" s="33"/>
      <c r="AP72" s="33"/>
      <c r="AQ72" s="7">
        <f t="shared" si="112"/>
        <v>0</v>
      </c>
      <c r="AR72" s="33"/>
      <c r="AS72" s="33"/>
      <c r="AT72" s="7">
        <f t="shared" si="113"/>
        <v>0</v>
      </c>
      <c r="AU72" s="33"/>
      <c r="AV72" s="33"/>
      <c r="AW72" s="7">
        <f t="shared" si="114"/>
        <v>0</v>
      </c>
      <c r="AX72" s="33"/>
      <c r="AY72" s="33"/>
      <c r="AZ72" s="7">
        <f t="shared" si="115"/>
        <v>0</v>
      </c>
      <c r="BA72" s="33"/>
      <c r="BB72" s="33"/>
      <c r="BC72" s="7">
        <f t="shared" si="116"/>
        <v>0</v>
      </c>
      <c r="BD72" s="33"/>
      <c r="BE72" s="33"/>
      <c r="BF72" s="7">
        <f t="shared" si="117"/>
        <v>0</v>
      </c>
      <c r="BG72" s="33"/>
      <c r="BH72" s="33"/>
      <c r="BI72" s="7">
        <f t="shared" si="118"/>
        <v>0</v>
      </c>
      <c r="BJ72" s="33"/>
      <c r="BK72" s="33"/>
      <c r="BL72" s="7">
        <f t="shared" si="119"/>
        <v>0</v>
      </c>
      <c r="BM72" s="33"/>
      <c r="BN72" s="33"/>
      <c r="BO72" s="7">
        <f t="shared" si="120"/>
        <v>0</v>
      </c>
      <c r="BP72" s="33"/>
      <c r="BQ72" s="33"/>
      <c r="BR72" s="7">
        <f t="shared" si="121"/>
        <v>0</v>
      </c>
      <c r="BS72" s="33"/>
      <c r="BT72" s="33"/>
      <c r="BU72" s="7">
        <f t="shared" si="122"/>
        <v>0</v>
      </c>
      <c r="BV72" s="33">
        <v>0</v>
      </c>
      <c r="BW72" s="7">
        <f t="shared" si="123"/>
        <v>-199830.90999999997</v>
      </c>
      <c r="BX72" s="7">
        <f t="shared" si="124"/>
        <v>-199830.90999999997</v>
      </c>
      <c r="BY72" s="33"/>
      <c r="BZ72" s="7">
        <f t="shared" si="125"/>
        <v>176707722.91</v>
      </c>
      <c r="CA72" s="7">
        <f t="shared" si="126"/>
        <v>176707722.91</v>
      </c>
      <c r="CB72" s="15">
        <f t="shared" si="127"/>
        <v>-1.1321358367364105E-3</v>
      </c>
      <c r="CC72" s="15">
        <f t="shared" si="128"/>
        <v>-1.1321358367364105E-3</v>
      </c>
      <c r="CD72" s="490" t="s">
        <v>728</v>
      </c>
      <c r="CE72" s="33">
        <f>197000000-7000000</f>
        <v>190000000</v>
      </c>
      <c r="CF72" s="33">
        <f>197000000-100000000</f>
        <v>97000000</v>
      </c>
      <c r="CG72" s="33"/>
      <c r="CH72" s="33"/>
      <c r="CI72" s="33"/>
      <c r="CJ72" s="7">
        <f t="shared" si="94"/>
        <v>0</v>
      </c>
      <c r="CK72" s="33">
        <v>3961956.8</v>
      </c>
      <c r="CL72" s="7">
        <f>CK72+554673.95</f>
        <v>4516630.75</v>
      </c>
      <c r="CM72" s="33">
        <v>7810659.8499999996</v>
      </c>
      <c r="CN72" s="33">
        <v>1250665.1100000001</v>
      </c>
      <c r="CO72" s="7">
        <f>CM72+CN72</f>
        <v>9061324.959999999</v>
      </c>
      <c r="CP72" s="7">
        <f t="shared" si="96"/>
        <v>11772616.649999999</v>
      </c>
      <c r="CQ72" s="7">
        <f t="shared" si="97"/>
        <v>13577955.709999999</v>
      </c>
      <c r="CR72" s="33">
        <v>8848276.7799999993</v>
      </c>
      <c r="CS72" s="33">
        <v>1132017.03</v>
      </c>
      <c r="CT72" s="7">
        <f t="shared" si="98"/>
        <v>9980293.8099999987</v>
      </c>
      <c r="CU72" s="33">
        <v>9756441.2899999991</v>
      </c>
      <c r="CV72" s="33">
        <v>1265741.02</v>
      </c>
      <c r="CW72" s="7">
        <f>CU72+CV72</f>
        <v>11022182.309999999</v>
      </c>
      <c r="CX72" s="33">
        <v>16134838.1</v>
      </c>
      <c r="CY72" s="33">
        <v>1207170.73</v>
      </c>
      <c r="CZ72" s="7">
        <f>CX72+CY72</f>
        <v>17342008.829999998</v>
      </c>
      <c r="DA72" s="33"/>
      <c r="DB72" s="7">
        <f t="shared" si="101"/>
        <v>0</v>
      </c>
      <c r="DC72" s="33"/>
      <c r="DD72" s="7">
        <f t="shared" si="102"/>
        <v>0</v>
      </c>
      <c r="DE72" s="33"/>
      <c r="DF72" s="7">
        <f t="shared" si="103"/>
        <v>0</v>
      </c>
      <c r="DG72" s="33"/>
      <c r="DH72" s="7">
        <f t="shared" si="104"/>
        <v>0</v>
      </c>
      <c r="DI72" s="33"/>
      <c r="DJ72" s="7">
        <f t="shared" si="105"/>
        <v>0</v>
      </c>
      <c r="DK72" s="33"/>
      <c r="DL72" s="7">
        <f t="shared" si="106"/>
        <v>0</v>
      </c>
      <c r="DM72" s="33"/>
      <c r="DN72" s="14">
        <f t="shared" ref="DN72:DN84" si="132">CI72+CK72+CM72+CR72+CU72+CX72+DA72+DC72+DE72+DG72+DI72+DK72</f>
        <v>46512172.82</v>
      </c>
      <c r="DO72" s="14">
        <f>CJ72+CL72+CO72+CT72+CW72+CZ72</f>
        <v>51922440.659999996</v>
      </c>
      <c r="DP72" s="7">
        <v>625034.64</v>
      </c>
      <c r="DQ72" s="7">
        <f>AG72-DN72</f>
        <v>11341827.18</v>
      </c>
      <c r="DR72" s="7">
        <f>AG72-DO72</f>
        <v>5931559.3400000036</v>
      </c>
      <c r="DS72" s="15">
        <f>DN72/AG72</f>
        <v>0.80395776990355028</v>
      </c>
      <c r="DT72" s="15">
        <f>DO72/AG72</f>
        <v>0.897473651951464</v>
      </c>
      <c r="DU72" s="7">
        <v>120000000</v>
      </c>
      <c r="DV72" s="7"/>
      <c r="DW72" s="7"/>
      <c r="DX72" s="27"/>
      <c r="DY72" s="329"/>
    </row>
    <row r="73" spans="1:129" s="10" customFormat="1">
      <c r="A73" s="10" t="s">
        <v>82</v>
      </c>
      <c r="B73" s="24" t="s">
        <v>254</v>
      </c>
      <c r="C73" s="8" t="s">
        <v>230</v>
      </c>
      <c r="D73" s="12" t="s">
        <v>73</v>
      </c>
      <c r="E73" s="3">
        <v>515010</v>
      </c>
      <c r="F73" s="406">
        <v>4</v>
      </c>
      <c r="G73" s="412" t="s">
        <v>187</v>
      </c>
      <c r="H73" s="406">
        <v>1521</v>
      </c>
      <c r="I73" s="9" t="s">
        <v>245</v>
      </c>
      <c r="J73" s="10" t="s">
        <v>73</v>
      </c>
      <c r="K73" s="3">
        <v>4</v>
      </c>
      <c r="L73" s="11" t="s">
        <v>187</v>
      </c>
      <c r="M73" s="45"/>
      <c r="N73" s="11" t="s">
        <v>186</v>
      </c>
      <c r="O73" s="11" t="s">
        <v>186</v>
      </c>
      <c r="P73" s="3" t="s">
        <v>187</v>
      </c>
      <c r="Q73" s="3" t="s">
        <v>187</v>
      </c>
      <c r="R73" s="11" t="s">
        <v>194</v>
      </c>
      <c r="S73" s="3" t="s">
        <v>188</v>
      </c>
      <c r="T73" s="12" t="s">
        <v>517</v>
      </c>
      <c r="U73" s="12"/>
      <c r="V73" s="12" t="s">
        <v>222</v>
      </c>
      <c r="W73" s="12" t="s">
        <v>44</v>
      </c>
      <c r="X73" s="8" t="s">
        <v>54</v>
      </c>
      <c r="Y73" s="13" t="s">
        <v>69</v>
      </c>
      <c r="Z73" s="25" t="s">
        <v>182</v>
      </c>
      <c r="AA73" s="10" t="s">
        <v>448</v>
      </c>
      <c r="AB73" s="12" t="s">
        <v>8</v>
      </c>
      <c r="AC73" s="7"/>
      <c r="AD73" s="33"/>
      <c r="AE73" s="7"/>
      <c r="AF73" s="33"/>
      <c r="AG73" s="33"/>
      <c r="AH73" s="33"/>
      <c r="AI73" s="7"/>
      <c r="AJ73" s="472"/>
      <c r="AK73" s="7">
        <v>40000000</v>
      </c>
      <c r="AL73" s="33">
        <v>0</v>
      </c>
      <c r="AM73" s="33">
        <v>0</v>
      </c>
      <c r="AN73" s="7">
        <f t="shared" si="111"/>
        <v>0</v>
      </c>
      <c r="AO73" s="33"/>
      <c r="AP73" s="33"/>
      <c r="AQ73" s="7">
        <f t="shared" si="112"/>
        <v>0</v>
      </c>
      <c r="AR73" s="33"/>
      <c r="AS73" s="33"/>
      <c r="AT73" s="7">
        <f t="shared" si="113"/>
        <v>0</v>
      </c>
      <c r="AU73" s="33"/>
      <c r="AV73" s="33"/>
      <c r="AW73" s="7">
        <f t="shared" si="114"/>
        <v>0</v>
      </c>
      <c r="AX73" s="33"/>
      <c r="AY73" s="33"/>
      <c r="AZ73" s="7">
        <f t="shared" si="115"/>
        <v>0</v>
      </c>
      <c r="BA73" s="33"/>
      <c r="BB73" s="33"/>
      <c r="BC73" s="7">
        <f t="shared" si="116"/>
        <v>0</v>
      </c>
      <c r="BD73" s="33"/>
      <c r="BE73" s="33"/>
      <c r="BF73" s="7">
        <f t="shared" si="117"/>
        <v>0</v>
      </c>
      <c r="BG73" s="33"/>
      <c r="BH73" s="33"/>
      <c r="BI73" s="7">
        <f t="shared" si="118"/>
        <v>0</v>
      </c>
      <c r="BJ73" s="33"/>
      <c r="BK73" s="33"/>
      <c r="BL73" s="7">
        <f t="shared" si="119"/>
        <v>0</v>
      </c>
      <c r="BM73" s="33"/>
      <c r="BN73" s="33"/>
      <c r="BO73" s="7">
        <f t="shared" si="120"/>
        <v>0</v>
      </c>
      <c r="BP73" s="33"/>
      <c r="BQ73" s="33"/>
      <c r="BR73" s="7">
        <f t="shared" si="121"/>
        <v>0</v>
      </c>
      <c r="BS73" s="33"/>
      <c r="BT73" s="33"/>
      <c r="BU73" s="7">
        <f t="shared" si="122"/>
        <v>0</v>
      </c>
      <c r="BV73" s="33">
        <v>398437.45</v>
      </c>
      <c r="BW73" s="7">
        <f t="shared" si="123"/>
        <v>0</v>
      </c>
      <c r="BX73" s="7">
        <f t="shared" si="124"/>
        <v>0</v>
      </c>
      <c r="BY73" s="33"/>
      <c r="BZ73" s="7">
        <f t="shared" si="125"/>
        <v>40000000</v>
      </c>
      <c r="CA73" s="7">
        <f t="shared" si="126"/>
        <v>40000000</v>
      </c>
      <c r="CB73" s="15">
        <f t="shared" si="127"/>
        <v>0</v>
      </c>
      <c r="CC73" s="15">
        <f t="shared" si="128"/>
        <v>0</v>
      </c>
      <c r="CD73" s="490" t="s">
        <v>729</v>
      </c>
      <c r="CE73" s="33">
        <v>40000000</v>
      </c>
      <c r="CF73" s="33">
        <v>40000000</v>
      </c>
      <c r="CG73" s="33"/>
      <c r="CH73" s="33"/>
      <c r="CI73" s="33"/>
      <c r="CJ73" s="7"/>
      <c r="CK73" s="33"/>
      <c r="CL73" s="7"/>
      <c r="CM73" s="33"/>
      <c r="CN73" s="33"/>
      <c r="CO73" s="7"/>
      <c r="CP73" s="7"/>
      <c r="CQ73" s="7"/>
      <c r="CR73" s="33"/>
      <c r="CS73" s="33"/>
      <c r="CT73" s="7"/>
      <c r="CU73" s="33"/>
      <c r="CV73" s="33"/>
      <c r="CW73" s="7"/>
      <c r="CX73" s="33"/>
      <c r="CY73" s="33"/>
      <c r="CZ73" s="7"/>
      <c r="DA73" s="33"/>
      <c r="DB73" s="7"/>
      <c r="DC73" s="33"/>
      <c r="DD73" s="7"/>
      <c r="DE73" s="33"/>
      <c r="DF73" s="7"/>
      <c r="DG73" s="33"/>
      <c r="DH73" s="7"/>
      <c r="DI73" s="33"/>
      <c r="DJ73" s="7"/>
      <c r="DK73" s="33"/>
      <c r="DL73" s="7"/>
      <c r="DM73" s="33"/>
      <c r="DN73" s="14"/>
      <c r="DO73" s="14"/>
      <c r="DP73" s="7"/>
      <c r="DQ73" s="7"/>
      <c r="DR73" s="7"/>
      <c r="DS73" s="15"/>
      <c r="DT73" s="15"/>
      <c r="DU73" s="7"/>
      <c r="DV73" s="7"/>
      <c r="DW73" s="7"/>
      <c r="DX73" s="27"/>
      <c r="DY73" s="329"/>
    </row>
    <row r="74" spans="1:129" s="10" customFormat="1" ht="15" customHeight="1">
      <c r="A74" s="10" t="s">
        <v>82</v>
      </c>
      <c r="B74" s="24" t="s">
        <v>68</v>
      </c>
      <c r="C74" s="8" t="s">
        <v>634</v>
      </c>
      <c r="D74" s="53" t="s">
        <v>35</v>
      </c>
      <c r="E74" s="3">
        <v>520005</v>
      </c>
      <c r="F74" s="406">
        <v>4</v>
      </c>
      <c r="G74" s="406">
        <v>36</v>
      </c>
      <c r="H74" s="406">
        <v>1521</v>
      </c>
      <c r="I74" s="9" t="s">
        <v>35</v>
      </c>
      <c r="J74" s="10" t="s">
        <v>35</v>
      </c>
      <c r="K74" s="3">
        <v>4</v>
      </c>
      <c r="L74" s="3">
        <v>36</v>
      </c>
      <c r="M74" s="45"/>
      <c r="N74" s="3" t="s">
        <v>186</v>
      </c>
      <c r="O74" s="3" t="s">
        <v>186</v>
      </c>
      <c r="P74" s="3" t="s">
        <v>187</v>
      </c>
      <c r="Q74" s="3" t="s">
        <v>187</v>
      </c>
      <c r="R74" s="11" t="s">
        <v>195</v>
      </c>
      <c r="S74" s="3" t="s">
        <v>188</v>
      </c>
      <c r="T74" s="12" t="s">
        <v>181</v>
      </c>
      <c r="U74" s="12"/>
      <c r="V74" s="12" t="s">
        <v>222</v>
      </c>
      <c r="W74" s="12" t="s">
        <v>24</v>
      </c>
      <c r="X74" s="8" t="s">
        <v>19</v>
      </c>
      <c r="Y74" s="25" t="s">
        <v>69</v>
      </c>
      <c r="Z74" s="25" t="s">
        <v>183</v>
      </c>
      <c r="AA74" s="10" t="s">
        <v>442</v>
      </c>
      <c r="AB74" s="110" t="s">
        <v>37</v>
      </c>
      <c r="AC74" s="7">
        <f>55000000-10000000-20000000-2000000-3000000-7000000-5000000-5000000-3000000</f>
        <v>0</v>
      </c>
      <c r="AD74" s="7"/>
      <c r="AE74" s="7"/>
      <c r="AF74" s="7"/>
      <c r="AG74" s="33"/>
      <c r="AH74" s="33"/>
      <c r="AI74" s="7">
        <f t="shared" si="131"/>
        <v>0</v>
      </c>
      <c r="AJ74" s="472"/>
      <c r="AK74" s="7">
        <v>52500000</v>
      </c>
      <c r="AL74" s="33">
        <v>0</v>
      </c>
      <c r="AM74" s="33">
        <v>0</v>
      </c>
      <c r="AN74" s="7">
        <f t="shared" si="111"/>
        <v>0</v>
      </c>
      <c r="AO74" s="33"/>
      <c r="AP74" s="33"/>
      <c r="AQ74" s="7">
        <f t="shared" si="112"/>
        <v>0</v>
      </c>
      <c r="AR74" s="33"/>
      <c r="AS74" s="33"/>
      <c r="AT74" s="7">
        <f t="shared" si="113"/>
        <v>0</v>
      </c>
      <c r="AU74" s="33"/>
      <c r="AV74" s="33"/>
      <c r="AW74" s="7">
        <f t="shared" si="114"/>
        <v>0</v>
      </c>
      <c r="AX74" s="33"/>
      <c r="AY74" s="33"/>
      <c r="AZ74" s="7">
        <f t="shared" si="115"/>
        <v>0</v>
      </c>
      <c r="BA74" s="33"/>
      <c r="BB74" s="33"/>
      <c r="BC74" s="7">
        <f t="shared" si="116"/>
        <v>0</v>
      </c>
      <c r="BD74" s="33"/>
      <c r="BE74" s="33"/>
      <c r="BF74" s="7">
        <f t="shared" si="117"/>
        <v>0</v>
      </c>
      <c r="BG74" s="33"/>
      <c r="BH74" s="33"/>
      <c r="BI74" s="7">
        <f t="shared" si="118"/>
        <v>0</v>
      </c>
      <c r="BJ74" s="33"/>
      <c r="BK74" s="33"/>
      <c r="BL74" s="7">
        <f t="shared" si="119"/>
        <v>0</v>
      </c>
      <c r="BM74" s="33"/>
      <c r="BN74" s="33"/>
      <c r="BO74" s="7">
        <f t="shared" si="120"/>
        <v>0</v>
      </c>
      <c r="BP74" s="33"/>
      <c r="BQ74" s="33"/>
      <c r="BR74" s="7">
        <f t="shared" si="121"/>
        <v>0</v>
      </c>
      <c r="BS74" s="33"/>
      <c r="BT74" s="33"/>
      <c r="BU74" s="7">
        <f t="shared" si="122"/>
        <v>0</v>
      </c>
      <c r="BV74" s="33">
        <v>113378</v>
      </c>
      <c r="BW74" s="7">
        <f t="shared" si="123"/>
        <v>0</v>
      </c>
      <c r="BX74" s="7">
        <f t="shared" si="124"/>
        <v>0</v>
      </c>
      <c r="BY74" s="33"/>
      <c r="BZ74" s="7">
        <f t="shared" si="125"/>
        <v>52500000</v>
      </c>
      <c r="CA74" s="7">
        <f t="shared" si="126"/>
        <v>52500000</v>
      </c>
      <c r="CB74" s="15">
        <f t="shared" si="127"/>
        <v>0</v>
      </c>
      <c r="CC74" s="15">
        <f t="shared" si="128"/>
        <v>0</v>
      </c>
      <c r="CD74" s="490" t="s">
        <v>730</v>
      </c>
      <c r="CE74" s="33">
        <f>71000000-20000000</f>
        <v>51000000</v>
      </c>
      <c r="CF74" s="33">
        <f>71000000-20000000</f>
        <v>51000000</v>
      </c>
      <c r="CG74" s="33"/>
      <c r="CH74" s="33"/>
      <c r="CI74" s="7"/>
      <c r="CJ74" s="7">
        <f t="shared" si="94"/>
        <v>0</v>
      </c>
      <c r="CK74" s="7"/>
      <c r="CL74" s="7">
        <f>CK74</f>
        <v>0</v>
      </c>
      <c r="CM74" s="7"/>
      <c r="CN74" s="7"/>
      <c r="CO74" s="7">
        <f t="shared" ref="CO74:CO86" si="133">CM74+CN74</f>
        <v>0</v>
      </c>
      <c r="CP74" s="7">
        <f t="shared" si="96"/>
        <v>0</v>
      </c>
      <c r="CQ74" s="7">
        <f t="shared" si="97"/>
        <v>0</v>
      </c>
      <c r="CR74" s="7"/>
      <c r="CS74" s="7"/>
      <c r="CT74" s="7">
        <f t="shared" si="98"/>
        <v>0</v>
      </c>
      <c r="CU74" s="7"/>
      <c r="CV74" s="7"/>
      <c r="CW74" s="7">
        <f t="shared" ref="CW74:CW84" si="134">CU74+CV74</f>
        <v>0</v>
      </c>
      <c r="CX74" s="7"/>
      <c r="CY74" s="7"/>
      <c r="CZ74" s="7">
        <f t="shared" ref="CZ74:CZ84" si="135">CX74+CY74</f>
        <v>0</v>
      </c>
      <c r="DA74" s="7"/>
      <c r="DB74" s="7"/>
      <c r="DC74" s="7"/>
      <c r="DD74" s="7"/>
      <c r="DE74" s="7"/>
      <c r="DF74" s="7"/>
      <c r="DG74" s="7"/>
      <c r="DH74" s="7"/>
      <c r="DI74" s="7"/>
      <c r="DJ74" s="7"/>
      <c r="DK74" s="7"/>
      <c r="DL74" s="7"/>
      <c r="DM74" s="7"/>
      <c r="DN74" s="14">
        <f t="shared" si="132"/>
        <v>0</v>
      </c>
      <c r="DO74" s="14"/>
      <c r="DP74" s="7"/>
      <c r="DQ74" s="7">
        <f t="shared" ref="DQ74:DQ84" si="136">AG74-DN74</f>
        <v>0</v>
      </c>
      <c r="DR74" s="7"/>
      <c r="DS74" s="15">
        <v>0</v>
      </c>
      <c r="DT74" s="15"/>
      <c r="DU74" s="33">
        <v>73000000</v>
      </c>
      <c r="DV74" s="7"/>
      <c r="DW74" s="7"/>
      <c r="DX74" s="27"/>
      <c r="DY74" s="329"/>
    </row>
    <row r="75" spans="1:129" s="10" customFormat="1" ht="31.5" customHeight="1">
      <c r="A75" s="10" t="s">
        <v>82</v>
      </c>
      <c r="B75" s="24" t="s">
        <v>68</v>
      </c>
      <c r="C75" s="8" t="s">
        <v>634</v>
      </c>
      <c r="D75" s="53" t="s">
        <v>35</v>
      </c>
      <c r="E75" s="3">
        <v>520005</v>
      </c>
      <c r="F75" s="406">
        <v>4</v>
      </c>
      <c r="G75" s="412" t="s">
        <v>187</v>
      </c>
      <c r="H75" s="406">
        <v>1522</v>
      </c>
      <c r="I75" s="9" t="s">
        <v>35</v>
      </c>
      <c r="J75" s="10" t="s">
        <v>35</v>
      </c>
      <c r="K75" s="3">
        <v>4</v>
      </c>
      <c r="L75" s="11" t="s">
        <v>187</v>
      </c>
      <c r="M75" s="45"/>
      <c r="N75" s="11" t="s">
        <v>186</v>
      </c>
      <c r="O75" s="3" t="s">
        <v>186</v>
      </c>
      <c r="P75" s="3" t="s">
        <v>187</v>
      </c>
      <c r="Q75" s="3" t="s">
        <v>187</v>
      </c>
      <c r="R75" s="11" t="s">
        <v>195</v>
      </c>
      <c r="S75" s="3" t="s">
        <v>188</v>
      </c>
      <c r="T75" s="12" t="s">
        <v>181</v>
      </c>
      <c r="U75" s="12"/>
      <c r="V75" s="12" t="s">
        <v>222</v>
      </c>
      <c r="W75" s="12" t="s">
        <v>24</v>
      </c>
      <c r="X75" s="8" t="s">
        <v>19</v>
      </c>
      <c r="Y75" s="25" t="s">
        <v>69</v>
      </c>
      <c r="Z75" s="25" t="s">
        <v>183</v>
      </c>
      <c r="AA75" s="10" t="s">
        <v>449</v>
      </c>
      <c r="AB75" s="12" t="s">
        <v>8</v>
      </c>
      <c r="AC75" s="7"/>
      <c r="AD75" s="7"/>
      <c r="AE75" s="7"/>
      <c r="AF75" s="7"/>
      <c r="AG75" s="33"/>
      <c r="AH75" s="33"/>
      <c r="AI75" s="7"/>
      <c r="AJ75" s="472"/>
      <c r="AK75" s="7">
        <v>40000000</v>
      </c>
      <c r="AL75" s="33">
        <v>0</v>
      </c>
      <c r="AM75" s="33">
        <v>0</v>
      </c>
      <c r="AN75" s="7">
        <f t="shared" si="111"/>
        <v>0</v>
      </c>
      <c r="AO75" s="33"/>
      <c r="AP75" s="33"/>
      <c r="AQ75" s="7">
        <f t="shared" si="112"/>
        <v>0</v>
      </c>
      <c r="AR75" s="33"/>
      <c r="AS75" s="33"/>
      <c r="AT75" s="7">
        <f t="shared" si="113"/>
        <v>0</v>
      </c>
      <c r="AU75" s="33"/>
      <c r="AV75" s="33"/>
      <c r="AW75" s="7">
        <f t="shared" si="114"/>
        <v>0</v>
      </c>
      <c r="AX75" s="33"/>
      <c r="AY75" s="33"/>
      <c r="AZ75" s="7">
        <f t="shared" si="115"/>
        <v>0</v>
      </c>
      <c r="BA75" s="33"/>
      <c r="BB75" s="33"/>
      <c r="BC75" s="7">
        <f t="shared" si="116"/>
        <v>0</v>
      </c>
      <c r="BD75" s="33"/>
      <c r="BE75" s="33"/>
      <c r="BF75" s="7">
        <f t="shared" si="117"/>
        <v>0</v>
      </c>
      <c r="BG75" s="33"/>
      <c r="BH75" s="33"/>
      <c r="BI75" s="7">
        <f t="shared" si="118"/>
        <v>0</v>
      </c>
      <c r="BJ75" s="33"/>
      <c r="BK75" s="33"/>
      <c r="BL75" s="7">
        <f t="shared" si="119"/>
        <v>0</v>
      </c>
      <c r="BM75" s="33"/>
      <c r="BN75" s="33"/>
      <c r="BO75" s="7">
        <f t="shared" si="120"/>
        <v>0</v>
      </c>
      <c r="BP75" s="33"/>
      <c r="BQ75" s="33"/>
      <c r="BR75" s="7">
        <f t="shared" si="121"/>
        <v>0</v>
      </c>
      <c r="BS75" s="33"/>
      <c r="BT75" s="33"/>
      <c r="BU75" s="7">
        <f t="shared" si="122"/>
        <v>0</v>
      </c>
      <c r="BV75" s="33">
        <v>0</v>
      </c>
      <c r="BW75" s="7">
        <f t="shared" si="123"/>
        <v>0</v>
      </c>
      <c r="BX75" s="7">
        <f t="shared" si="124"/>
        <v>0</v>
      </c>
      <c r="BY75" s="33"/>
      <c r="BZ75" s="7">
        <f t="shared" si="125"/>
        <v>40000000</v>
      </c>
      <c r="CA75" s="7">
        <f t="shared" si="126"/>
        <v>40000000</v>
      </c>
      <c r="CB75" s="15">
        <f t="shared" si="127"/>
        <v>0</v>
      </c>
      <c r="CC75" s="15">
        <f t="shared" si="128"/>
        <v>0</v>
      </c>
      <c r="CD75" s="490" t="s">
        <v>731</v>
      </c>
      <c r="CE75" s="33">
        <v>40000000</v>
      </c>
      <c r="CF75" s="33">
        <v>40000000</v>
      </c>
      <c r="CG75" s="33"/>
      <c r="CH75" s="33"/>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14"/>
      <c r="DO75" s="14"/>
      <c r="DP75" s="7"/>
      <c r="DQ75" s="7"/>
      <c r="DR75" s="7"/>
      <c r="DS75" s="15"/>
      <c r="DT75" s="15"/>
      <c r="DU75" s="33"/>
      <c r="DV75" s="7"/>
      <c r="DW75" s="7"/>
      <c r="DX75" s="27"/>
      <c r="DY75" s="329"/>
    </row>
    <row r="76" spans="1:129" s="10" customFormat="1" ht="15" customHeight="1">
      <c r="A76" s="10" t="s">
        <v>82</v>
      </c>
      <c r="B76" s="24" t="s">
        <v>256</v>
      </c>
      <c r="C76" s="8" t="s">
        <v>634</v>
      </c>
      <c r="D76" s="53" t="s">
        <v>35</v>
      </c>
      <c r="E76" s="3">
        <v>520005</v>
      </c>
      <c r="F76" s="406">
        <v>4</v>
      </c>
      <c r="G76" s="406">
        <v>36</v>
      </c>
      <c r="H76" s="406">
        <v>1522</v>
      </c>
      <c r="I76" s="9" t="s">
        <v>35</v>
      </c>
      <c r="J76" s="10" t="s">
        <v>35</v>
      </c>
      <c r="K76" s="3">
        <v>4</v>
      </c>
      <c r="L76" s="3">
        <v>36</v>
      </c>
      <c r="M76" s="45"/>
      <c r="N76" s="3" t="s">
        <v>186</v>
      </c>
      <c r="O76" s="3" t="s">
        <v>186</v>
      </c>
      <c r="P76" s="3" t="s">
        <v>187</v>
      </c>
      <c r="Q76" s="3" t="s">
        <v>187</v>
      </c>
      <c r="R76" s="11" t="s">
        <v>195</v>
      </c>
      <c r="S76" s="3" t="s">
        <v>188</v>
      </c>
      <c r="T76" s="12" t="s">
        <v>181</v>
      </c>
      <c r="U76" s="12"/>
      <c r="V76" s="12" t="s">
        <v>222</v>
      </c>
      <c r="W76" s="12" t="s">
        <v>24</v>
      </c>
      <c r="X76" s="8" t="s">
        <v>19</v>
      </c>
      <c r="Y76" s="25" t="s">
        <v>69</v>
      </c>
      <c r="Z76" s="25" t="s">
        <v>183</v>
      </c>
      <c r="AA76" s="10" t="s">
        <v>255</v>
      </c>
      <c r="AB76" s="110" t="s">
        <v>37</v>
      </c>
      <c r="AC76" s="7">
        <v>10000000</v>
      </c>
      <c r="AD76" s="7"/>
      <c r="AE76" s="7">
        <f>AC76+AD76</f>
        <v>10000000</v>
      </c>
      <c r="AF76" s="7"/>
      <c r="AG76" s="33">
        <f t="shared" ref="AG76:AG84" si="137">AE76+AF76</f>
        <v>10000000</v>
      </c>
      <c r="AH76" s="33"/>
      <c r="AI76" s="7">
        <f t="shared" si="131"/>
        <v>10000000</v>
      </c>
      <c r="AJ76" s="472"/>
      <c r="AK76" s="7">
        <v>5000000</v>
      </c>
      <c r="AL76" s="33">
        <v>0</v>
      </c>
      <c r="AM76" s="33">
        <v>0</v>
      </c>
      <c r="AN76" s="7">
        <f t="shared" si="111"/>
        <v>0</v>
      </c>
      <c r="AO76" s="33"/>
      <c r="AP76" s="33"/>
      <c r="AQ76" s="7">
        <f t="shared" si="112"/>
        <v>0</v>
      </c>
      <c r="AR76" s="33"/>
      <c r="AS76" s="33"/>
      <c r="AT76" s="7">
        <f t="shared" si="113"/>
        <v>0</v>
      </c>
      <c r="AU76" s="33"/>
      <c r="AV76" s="33"/>
      <c r="AW76" s="7">
        <f t="shared" si="114"/>
        <v>0</v>
      </c>
      <c r="AX76" s="33"/>
      <c r="AY76" s="33"/>
      <c r="AZ76" s="7">
        <f t="shared" si="115"/>
        <v>0</v>
      </c>
      <c r="BA76" s="33"/>
      <c r="BB76" s="33"/>
      <c r="BC76" s="7">
        <f t="shared" si="116"/>
        <v>0</v>
      </c>
      <c r="BD76" s="33"/>
      <c r="BE76" s="33"/>
      <c r="BF76" s="7">
        <f t="shared" si="117"/>
        <v>0</v>
      </c>
      <c r="BG76" s="33"/>
      <c r="BH76" s="33"/>
      <c r="BI76" s="7">
        <f t="shared" si="118"/>
        <v>0</v>
      </c>
      <c r="BJ76" s="33"/>
      <c r="BK76" s="33"/>
      <c r="BL76" s="7">
        <f t="shared" si="119"/>
        <v>0</v>
      </c>
      <c r="BM76" s="33"/>
      <c r="BN76" s="33"/>
      <c r="BO76" s="7">
        <f t="shared" si="120"/>
        <v>0</v>
      </c>
      <c r="BP76" s="33"/>
      <c r="BQ76" s="33"/>
      <c r="BR76" s="7">
        <f t="shared" si="121"/>
        <v>0</v>
      </c>
      <c r="BS76" s="33"/>
      <c r="BT76" s="33"/>
      <c r="BU76" s="7">
        <f t="shared" si="122"/>
        <v>0</v>
      </c>
      <c r="BV76" s="33">
        <v>0</v>
      </c>
      <c r="BW76" s="7">
        <f t="shared" si="123"/>
        <v>0</v>
      </c>
      <c r="BX76" s="7">
        <f t="shared" si="124"/>
        <v>0</v>
      </c>
      <c r="BY76" s="33"/>
      <c r="BZ76" s="7">
        <f t="shared" si="125"/>
        <v>5000000</v>
      </c>
      <c r="CA76" s="7">
        <f t="shared" si="126"/>
        <v>5000000</v>
      </c>
      <c r="CB76" s="15">
        <f t="shared" si="127"/>
        <v>0</v>
      </c>
      <c r="CC76" s="15">
        <f t="shared" si="128"/>
        <v>0</v>
      </c>
      <c r="CD76" s="490" t="s">
        <v>732</v>
      </c>
      <c r="CE76" s="33">
        <v>0</v>
      </c>
      <c r="CF76" s="33">
        <v>0</v>
      </c>
      <c r="CG76" s="33"/>
      <c r="CH76" s="33"/>
      <c r="CI76" s="7"/>
      <c r="CJ76" s="7">
        <f t="shared" si="94"/>
        <v>0</v>
      </c>
      <c r="CK76" s="7">
        <v>-1849660.37</v>
      </c>
      <c r="CL76" s="7">
        <f>CK76</f>
        <v>-1849660.37</v>
      </c>
      <c r="CM76" s="7"/>
      <c r="CN76" s="7"/>
      <c r="CO76" s="7">
        <f t="shared" si="133"/>
        <v>0</v>
      </c>
      <c r="CP76" s="7">
        <f t="shared" si="96"/>
        <v>-1849660.37</v>
      </c>
      <c r="CQ76" s="7">
        <f t="shared" si="97"/>
        <v>-1849660.37</v>
      </c>
      <c r="CR76" s="7"/>
      <c r="CS76" s="7"/>
      <c r="CT76" s="7">
        <f t="shared" si="98"/>
        <v>0</v>
      </c>
      <c r="CU76" s="7"/>
      <c r="CV76" s="7"/>
      <c r="CW76" s="7">
        <f t="shared" si="134"/>
        <v>0</v>
      </c>
      <c r="CX76" s="7">
        <v>3541740.65</v>
      </c>
      <c r="CY76" s="7"/>
      <c r="CZ76" s="7">
        <f t="shared" si="135"/>
        <v>3541740.65</v>
      </c>
      <c r="DA76" s="7"/>
      <c r="DB76" s="7">
        <f t="shared" si="101"/>
        <v>0</v>
      </c>
      <c r="DC76" s="7"/>
      <c r="DD76" s="7">
        <f t="shared" si="102"/>
        <v>0</v>
      </c>
      <c r="DE76" s="7"/>
      <c r="DF76" s="7">
        <f t="shared" si="103"/>
        <v>0</v>
      </c>
      <c r="DG76" s="7"/>
      <c r="DH76" s="7">
        <f t="shared" si="104"/>
        <v>0</v>
      </c>
      <c r="DI76" s="7"/>
      <c r="DJ76" s="7">
        <f t="shared" si="105"/>
        <v>0</v>
      </c>
      <c r="DK76" s="7"/>
      <c r="DL76" s="7">
        <f t="shared" si="106"/>
        <v>0</v>
      </c>
      <c r="DM76" s="7"/>
      <c r="DN76" s="14">
        <f t="shared" si="132"/>
        <v>1692080.2799999998</v>
      </c>
      <c r="DO76" s="14">
        <f t="shared" ref="DO76:DO84" si="138">CJ76+CL76+CO76+CT76+CW76+CZ76</f>
        <v>1692080.2799999998</v>
      </c>
      <c r="DP76" s="7"/>
      <c r="DQ76" s="7">
        <f t="shared" si="136"/>
        <v>8307919.7200000007</v>
      </c>
      <c r="DR76" s="7">
        <f t="shared" ref="DR76:DR84" si="139">AG76-DO76</f>
        <v>8307919.7200000007</v>
      </c>
      <c r="DS76" s="15">
        <f t="shared" ref="DS76:DS84" si="140">DN76/AG76</f>
        <v>0.16920802799999998</v>
      </c>
      <c r="DT76" s="15">
        <f t="shared" ref="DT76:DT84" si="141">DO76/AG76</f>
        <v>0.16920802799999998</v>
      </c>
      <c r="DU76" s="7"/>
      <c r="DV76" s="7"/>
      <c r="DW76" s="7"/>
      <c r="DX76" s="27"/>
      <c r="DY76" s="329"/>
    </row>
    <row r="77" spans="1:129" s="10" customFormat="1" ht="15.75" customHeight="1">
      <c r="A77" s="10" t="s">
        <v>82</v>
      </c>
      <c r="B77" s="24" t="s">
        <v>64</v>
      </c>
      <c r="C77" s="10" t="s">
        <v>650</v>
      </c>
      <c r="D77" s="24" t="s">
        <v>19</v>
      </c>
      <c r="E77" s="3">
        <v>525025</v>
      </c>
      <c r="F77" s="406">
        <v>4</v>
      </c>
      <c r="G77" s="406">
        <v>36</v>
      </c>
      <c r="H77" s="406">
        <v>1523</v>
      </c>
      <c r="I77" s="9" t="s">
        <v>34</v>
      </c>
      <c r="J77" s="10" t="s">
        <v>19</v>
      </c>
      <c r="K77" s="3">
        <v>4</v>
      </c>
      <c r="L77" s="3">
        <v>36</v>
      </c>
      <c r="M77" s="45"/>
      <c r="N77" s="3" t="s">
        <v>186</v>
      </c>
      <c r="O77" s="3" t="s">
        <v>186</v>
      </c>
      <c r="P77" s="3" t="s">
        <v>187</v>
      </c>
      <c r="Q77" s="3" t="s">
        <v>187</v>
      </c>
      <c r="R77" s="11" t="s">
        <v>196</v>
      </c>
      <c r="S77" s="3" t="s">
        <v>188</v>
      </c>
      <c r="T77" s="12" t="s">
        <v>45</v>
      </c>
      <c r="U77" s="12" t="s">
        <v>222</v>
      </c>
      <c r="V77" s="12"/>
      <c r="W77" s="12" t="s">
        <v>24</v>
      </c>
      <c r="X77" s="8" t="s">
        <v>19</v>
      </c>
      <c r="Y77" s="25" t="s">
        <v>69</v>
      </c>
      <c r="Z77" s="25" t="s">
        <v>184</v>
      </c>
      <c r="AA77" s="10" t="s">
        <v>443</v>
      </c>
      <c r="AB77" s="110" t="s">
        <v>37</v>
      </c>
      <c r="AC77" s="7">
        <f>92000000-20000000-6000000-21000000-15000000</f>
        <v>30000000</v>
      </c>
      <c r="AD77" s="7"/>
      <c r="AE77" s="7"/>
      <c r="AF77" s="7"/>
      <c r="AG77" s="33"/>
      <c r="AH77" s="33"/>
      <c r="AI77" s="7">
        <f t="shared" si="131"/>
        <v>0</v>
      </c>
      <c r="AJ77" s="472"/>
      <c r="AK77" s="7">
        <f>100000000-10000000+20000000</f>
        <v>110000000</v>
      </c>
      <c r="AL77" s="33">
        <v>-47814.16</v>
      </c>
      <c r="AM77" s="33">
        <v>0</v>
      </c>
      <c r="AN77" s="7">
        <f t="shared" si="111"/>
        <v>-47814.16</v>
      </c>
      <c r="AO77" s="33"/>
      <c r="AP77" s="33"/>
      <c r="AQ77" s="7">
        <f t="shared" si="112"/>
        <v>0</v>
      </c>
      <c r="AR77" s="33"/>
      <c r="AS77" s="33"/>
      <c r="AT77" s="7">
        <f t="shared" si="113"/>
        <v>0</v>
      </c>
      <c r="AU77" s="33"/>
      <c r="AV77" s="33"/>
      <c r="AW77" s="7">
        <f t="shared" si="114"/>
        <v>0</v>
      </c>
      <c r="AX77" s="33"/>
      <c r="AY77" s="33"/>
      <c r="AZ77" s="7">
        <f t="shared" si="115"/>
        <v>0</v>
      </c>
      <c r="BA77" s="33"/>
      <c r="BB77" s="33"/>
      <c r="BC77" s="7">
        <f t="shared" si="116"/>
        <v>0</v>
      </c>
      <c r="BD77" s="33"/>
      <c r="BE77" s="33"/>
      <c r="BF77" s="7">
        <f t="shared" si="117"/>
        <v>0</v>
      </c>
      <c r="BG77" s="33"/>
      <c r="BH77" s="33"/>
      <c r="BI77" s="7">
        <f t="shared" si="118"/>
        <v>0</v>
      </c>
      <c r="BJ77" s="33"/>
      <c r="BK77" s="33"/>
      <c r="BL77" s="7">
        <f t="shared" si="119"/>
        <v>0</v>
      </c>
      <c r="BM77" s="33"/>
      <c r="BN77" s="33"/>
      <c r="BO77" s="7">
        <f t="shared" si="120"/>
        <v>0</v>
      </c>
      <c r="BP77" s="33"/>
      <c r="BQ77" s="33"/>
      <c r="BR77" s="7">
        <f t="shared" si="121"/>
        <v>0</v>
      </c>
      <c r="BS77" s="33"/>
      <c r="BT77" s="33"/>
      <c r="BU77" s="7">
        <f t="shared" si="122"/>
        <v>0</v>
      </c>
      <c r="BV77" s="33">
        <v>0</v>
      </c>
      <c r="BW77" s="7">
        <f t="shared" si="123"/>
        <v>-47814.16</v>
      </c>
      <c r="BX77" s="7">
        <f t="shared" si="124"/>
        <v>-47814.16</v>
      </c>
      <c r="BY77" s="33"/>
      <c r="BZ77" s="7">
        <f t="shared" si="125"/>
        <v>110047814.16</v>
      </c>
      <c r="CA77" s="7">
        <f t="shared" si="126"/>
        <v>110047814.16</v>
      </c>
      <c r="CB77" s="15">
        <f t="shared" si="127"/>
        <v>-4.3467418181818184E-4</v>
      </c>
      <c r="CC77" s="15">
        <f t="shared" si="128"/>
        <v>-4.3467418181818184E-4</v>
      </c>
      <c r="CD77" s="490" t="s">
        <v>733</v>
      </c>
      <c r="CE77" s="33">
        <f>95000000-5000000</f>
        <v>90000000</v>
      </c>
      <c r="CF77" s="33">
        <f>95000000-25000000+10000000</f>
        <v>80000000</v>
      </c>
      <c r="CG77" s="33"/>
      <c r="CH77" s="33"/>
      <c r="CI77" s="7"/>
      <c r="CJ77" s="7">
        <f t="shared" si="94"/>
        <v>0</v>
      </c>
      <c r="CK77" s="7"/>
      <c r="CL77" s="7">
        <f>CK77</f>
        <v>0</v>
      </c>
      <c r="CM77" s="7"/>
      <c r="CN77" s="7"/>
      <c r="CO77" s="7">
        <f t="shared" si="133"/>
        <v>0</v>
      </c>
      <c r="CP77" s="7">
        <f t="shared" si="96"/>
        <v>0</v>
      </c>
      <c r="CQ77" s="7">
        <f t="shared" si="97"/>
        <v>0</v>
      </c>
      <c r="CR77" s="7"/>
      <c r="CS77" s="7"/>
      <c r="CT77" s="7"/>
      <c r="CU77" s="7"/>
      <c r="CV77" s="7"/>
      <c r="CW77" s="7">
        <f t="shared" si="134"/>
        <v>0</v>
      </c>
      <c r="CX77" s="7"/>
      <c r="CY77" s="7"/>
      <c r="CZ77" s="7">
        <f t="shared" si="135"/>
        <v>0</v>
      </c>
      <c r="DA77" s="7"/>
      <c r="DB77" s="7">
        <f t="shared" si="101"/>
        <v>0</v>
      </c>
      <c r="DC77" s="7"/>
      <c r="DD77" s="7">
        <f t="shared" si="102"/>
        <v>0</v>
      </c>
      <c r="DE77" s="7"/>
      <c r="DF77" s="7">
        <f t="shared" si="103"/>
        <v>0</v>
      </c>
      <c r="DG77" s="7"/>
      <c r="DH77" s="7">
        <f t="shared" si="104"/>
        <v>0</v>
      </c>
      <c r="DI77" s="7"/>
      <c r="DJ77" s="7">
        <f t="shared" si="105"/>
        <v>0</v>
      </c>
      <c r="DK77" s="7"/>
      <c r="DL77" s="7">
        <f t="shared" si="106"/>
        <v>0</v>
      </c>
      <c r="DM77" s="7"/>
      <c r="DN77" s="14">
        <f t="shared" si="132"/>
        <v>0</v>
      </c>
      <c r="DO77" s="14"/>
      <c r="DP77" s="7"/>
      <c r="DQ77" s="7">
        <f t="shared" si="136"/>
        <v>0</v>
      </c>
      <c r="DR77" s="7"/>
      <c r="DS77" s="15" t="e">
        <f t="shared" si="140"/>
        <v>#DIV/0!</v>
      </c>
      <c r="DT77" s="15"/>
      <c r="DU77" s="33">
        <v>150000000</v>
      </c>
      <c r="DV77" s="7"/>
      <c r="DW77" s="7"/>
      <c r="DX77" s="27"/>
      <c r="DY77" s="329"/>
    </row>
    <row r="78" spans="1:129" s="10" customFormat="1" ht="15.75" customHeight="1">
      <c r="A78" s="10" t="s">
        <v>82</v>
      </c>
      <c r="B78" s="24" t="s">
        <v>64</v>
      </c>
      <c r="C78" s="10" t="s">
        <v>650</v>
      </c>
      <c r="D78" s="24" t="s">
        <v>19</v>
      </c>
      <c r="E78" s="3">
        <v>525025</v>
      </c>
      <c r="F78" s="406">
        <v>4</v>
      </c>
      <c r="G78" s="406">
        <v>36</v>
      </c>
      <c r="H78" s="406">
        <v>1524</v>
      </c>
      <c r="I78" s="9" t="s">
        <v>34</v>
      </c>
      <c r="J78" s="10" t="s">
        <v>19</v>
      </c>
      <c r="K78" s="3">
        <v>4</v>
      </c>
      <c r="L78" s="3">
        <v>36</v>
      </c>
      <c r="M78" s="45"/>
      <c r="N78" s="3" t="s">
        <v>186</v>
      </c>
      <c r="O78" s="3" t="s">
        <v>186</v>
      </c>
      <c r="P78" s="3" t="s">
        <v>187</v>
      </c>
      <c r="Q78" s="3" t="s">
        <v>187</v>
      </c>
      <c r="R78" s="11" t="s">
        <v>196</v>
      </c>
      <c r="S78" s="3" t="s">
        <v>188</v>
      </c>
      <c r="T78" s="12" t="s">
        <v>519</v>
      </c>
      <c r="U78" s="12"/>
      <c r="V78" s="12" t="s">
        <v>222</v>
      </c>
      <c r="W78" s="12" t="s">
        <v>24</v>
      </c>
      <c r="X78" s="8" t="s">
        <v>19</v>
      </c>
      <c r="Y78" s="25" t="s">
        <v>69</v>
      </c>
      <c r="Z78" s="25" t="s">
        <v>145</v>
      </c>
      <c r="AA78" s="10" t="s">
        <v>444</v>
      </c>
      <c r="AB78" s="110" t="s">
        <v>37</v>
      </c>
      <c r="AC78" s="7">
        <f>53000000-16000000-15000000-16000000-6000000</f>
        <v>0</v>
      </c>
      <c r="AD78" s="7"/>
      <c r="AE78" s="7"/>
      <c r="AF78" s="7"/>
      <c r="AG78" s="33"/>
      <c r="AH78" s="33"/>
      <c r="AI78" s="7">
        <f t="shared" si="131"/>
        <v>0</v>
      </c>
      <c r="AJ78" s="472"/>
      <c r="AK78" s="7">
        <f>70000000-2500000-14500000</f>
        <v>53000000</v>
      </c>
      <c r="AL78" s="33">
        <v>0</v>
      </c>
      <c r="AM78" s="33">
        <v>0</v>
      </c>
      <c r="AN78" s="7">
        <f t="shared" si="111"/>
        <v>0</v>
      </c>
      <c r="AO78" s="33"/>
      <c r="AP78" s="33"/>
      <c r="AQ78" s="7">
        <f t="shared" si="112"/>
        <v>0</v>
      </c>
      <c r="AR78" s="33"/>
      <c r="AS78" s="33"/>
      <c r="AT78" s="7">
        <f t="shared" si="113"/>
        <v>0</v>
      </c>
      <c r="AU78" s="33"/>
      <c r="AV78" s="33"/>
      <c r="AW78" s="7">
        <f t="shared" si="114"/>
        <v>0</v>
      </c>
      <c r="AX78" s="33"/>
      <c r="AY78" s="33"/>
      <c r="AZ78" s="7">
        <f t="shared" si="115"/>
        <v>0</v>
      </c>
      <c r="BA78" s="33"/>
      <c r="BB78" s="33"/>
      <c r="BC78" s="7">
        <f t="shared" si="116"/>
        <v>0</v>
      </c>
      <c r="BD78" s="33"/>
      <c r="BE78" s="33"/>
      <c r="BF78" s="7">
        <f t="shared" si="117"/>
        <v>0</v>
      </c>
      <c r="BG78" s="33"/>
      <c r="BH78" s="33"/>
      <c r="BI78" s="7">
        <f t="shared" si="118"/>
        <v>0</v>
      </c>
      <c r="BJ78" s="33"/>
      <c r="BK78" s="33"/>
      <c r="BL78" s="7">
        <f t="shared" si="119"/>
        <v>0</v>
      </c>
      <c r="BM78" s="33"/>
      <c r="BN78" s="33"/>
      <c r="BO78" s="7">
        <f t="shared" si="120"/>
        <v>0</v>
      </c>
      <c r="BP78" s="33"/>
      <c r="BQ78" s="33"/>
      <c r="BR78" s="7">
        <f t="shared" si="121"/>
        <v>0</v>
      </c>
      <c r="BS78" s="33"/>
      <c r="BT78" s="33"/>
      <c r="BU78" s="7">
        <f t="shared" si="122"/>
        <v>0</v>
      </c>
      <c r="BV78" s="33">
        <v>0</v>
      </c>
      <c r="BW78" s="7">
        <f t="shared" si="123"/>
        <v>0</v>
      </c>
      <c r="BX78" s="7">
        <f t="shared" si="124"/>
        <v>0</v>
      </c>
      <c r="BY78" s="33"/>
      <c r="BZ78" s="7">
        <f t="shared" si="125"/>
        <v>53000000</v>
      </c>
      <c r="CA78" s="7">
        <f t="shared" si="126"/>
        <v>53000000</v>
      </c>
      <c r="CB78" s="15">
        <f t="shared" si="127"/>
        <v>0</v>
      </c>
      <c r="CC78" s="15">
        <f t="shared" si="128"/>
        <v>0</v>
      </c>
      <c r="CD78" s="490" t="s">
        <v>734</v>
      </c>
      <c r="CE78" s="33">
        <f>70000000-10000000</f>
        <v>60000000</v>
      </c>
      <c r="CF78" s="33">
        <f>70000000-10000000</f>
        <v>60000000</v>
      </c>
      <c r="CG78" s="33"/>
      <c r="CH78" s="33"/>
      <c r="CI78" s="7"/>
      <c r="CJ78" s="7">
        <f t="shared" si="94"/>
        <v>0</v>
      </c>
      <c r="CK78" s="7"/>
      <c r="CL78" s="7">
        <f>CK78</f>
        <v>0</v>
      </c>
      <c r="CM78" s="7"/>
      <c r="CN78" s="7"/>
      <c r="CO78" s="7">
        <f t="shared" si="133"/>
        <v>0</v>
      </c>
      <c r="CP78" s="7">
        <f t="shared" si="96"/>
        <v>0</v>
      </c>
      <c r="CQ78" s="7">
        <f t="shared" si="97"/>
        <v>0</v>
      </c>
      <c r="CR78" s="7"/>
      <c r="CS78" s="7"/>
      <c r="CT78" s="7">
        <f t="shared" si="98"/>
        <v>0</v>
      </c>
      <c r="CU78" s="7"/>
      <c r="CV78" s="7"/>
      <c r="CW78" s="7">
        <f t="shared" si="134"/>
        <v>0</v>
      </c>
      <c r="CX78" s="7"/>
      <c r="CY78" s="7"/>
      <c r="CZ78" s="7">
        <f t="shared" si="135"/>
        <v>0</v>
      </c>
      <c r="DA78" s="7"/>
      <c r="DB78" s="7"/>
      <c r="DC78" s="7"/>
      <c r="DD78" s="7"/>
      <c r="DE78" s="7"/>
      <c r="DF78" s="7"/>
      <c r="DG78" s="7"/>
      <c r="DH78" s="7"/>
      <c r="DI78" s="7"/>
      <c r="DJ78" s="7"/>
      <c r="DK78" s="7"/>
      <c r="DL78" s="7"/>
      <c r="DM78" s="7"/>
      <c r="DN78" s="14">
        <f t="shared" si="132"/>
        <v>0</v>
      </c>
      <c r="DO78" s="14"/>
      <c r="DP78" s="7"/>
      <c r="DQ78" s="7">
        <f t="shared" si="136"/>
        <v>0</v>
      </c>
      <c r="DR78" s="7"/>
      <c r="DS78" s="15">
        <v>0</v>
      </c>
      <c r="DT78" s="15"/>
      <c r="DU78" s="7"/>
      <c r="DV78" s="7"/>
      <c r="DW78" s="7"/>
      <c r="DX78" s="27"/>
      <c r="DY78" s="329"/>
    </row>
    <row r="79" spans="1:129" s="10" customFormat="1" ht="15.75" customHeight="1">
      <c r="A79" s="10" t="s">
        <v>82</v>
      </c>
      <c r="B79" s="24" t="s">
        <v>64</v>
      </c>
      <c r="C79" s="10" t="s">
        <v>650</v>
      </c>
      <c r="D79" s="24" t="s">
        <v>19</v>
      </c>
      <c r="E79" s="3">
        <v>525025</v>
      </c>
      <c r="F79" s="406">
        <v>4</v>
      </c>
      <c r="G79" s="406">
        <v>36</v>
      </c>
      <c r="H79" s="406">
        <v>1525</v>
      </c>
      <c r="I79" s="9" t="s">
        <v>34</v>
      </c>
      <c r="J79" s="10" t="s">
        <v>19</v>
      </c>
      <c r="K79" s="3">
        <v>4</v>
      </c>
      <c r="L79" s="3">
        <v>36</v>
      </c>
      <c r="M79" s="45"/>
      <c r="N79" s="3" t="s">
        <v>186</v>
      </c>
      <c r="O79" s="3" t="s">
        <v>186</v>
      </c>
      <c r="P79" s="3" t="s">
        <v>187</v>
      </c>
      <c r="Q79" s="3" t="s">
        <v>187</v>
      </c>
      <c r="R79" s="11" t="s">
        <v>196</v>
      </c>
      <c r="S79" s="3" t="s">
        <v>188</v>
      </c>
      <c r="T79" s="12" t="s">
        <v>519</v>
      </c>
      <c r="U79" s="12"/>
      <c r="V79" s="12" t="s">
        <v>222</v>
      </c>
      <c r="W79" s="12" t="s">
        <v>24</v>
      </c>
      <c r="X79" s="8" t="s">
        <v>19</v>
      </c>
      <c r="Y79" s="25" t="s">
        <v>69</v>
      </c>
      <c r="Z79" s="25">
        <v>46</v>
      </c>
      <c r="AA79" s="10" t="s">
        <v>445</v>
      </c>
      <c r="AB79" s="110" t="s">
        <v>37</v>
      </c>
      <c r="AC79" s="7">
        <f>3000000-2500000-500000</f>
        <v>0</v>
      </c>
      <c r="AD79" s="7"/>
      <c r="AE79" s="7"/>
      <c r="AF79" s="7"/>
      <c r="AG79" s="33"/>
      <c r="AH79" s="33"/>
      <c r="AI79" s="7">
        <f t="shared" si="131"/>
        <v>0</v>
      </c>
      <c r="AJ79" s="472"/>
      <c r="AK79" s="7">
        <f>15000000-12000000+5000000</f>
        <v>8000000</v>
      </c>
      <c r="AL79" s="33">
        <v>0</v>
      </c>
      <c r="AM79" s="33">
        <v>0</v>
      </c>
      <c r="AN79" s="7">
        <f t="shared" si="111"/>
        <v>0</v>
      </c>
      <c r="AO79" s="33"/>
      <c r="AP79" s="33"/>
      <c r="AQ79" s="7">
        <f t="shared" si="112"/>
        <v>0</v>
      </c>
      <c r="AR79" s="33"/>
      <c r="AS79" s="33"/>
      <c r="AT79" s="7">
        <f t="shared" si="113"/>
        <v>0</v>
      </c>
      <c r="AU79" s="33"/>
      <c r="AV79" s="33"/>
      <c r="AW79" s="7">
        <f t="shared" si="114"/>
        <v>0</v>
      </c>
      <c r="AX79" s="33"/>
      <c r="AY79" s="33"/>
      <c r="AZ79" s="7">
        <f t="shared" si="115"/>
        <v>0</v>
      </c>
      <c r="BA79" s="33"/>
      <c r="BB79" s="33"/>
      <c r="BC79" s="7">
        <f t="shared" si="116"/>
        <v>0</v>
      </c>
      <c r="BD79" s="33"/>
      <c r="BE79" s="33"/>
      <c r="BF79" s="7">
        <f t="shared" si="117"/>
        <v>0</v>
      </c>
      <c r="BG79" s="33"/>
      <c r="BH79" s="33"/>
      <c r="BI79" s="7">
        <f t="shared" si="118"/>
        <v>0</v>
      </c>
      <c r="BJ79" s="33"/>
      <c r="BK79" s="33"/>
      <c r="BL79" s="7">
        <f t="shared" si="119"/>
        <v>0</v>
      </c>
      <c r="BM79" s="33"/>
      <c r="BN79" s="33"/>
      <c r="BO79" s="7">
        <f t="shared" si="120"/>
        <v>0</v>
      </c>
      <c r="BP79" s="33"/>
      <c r="BQ79" s="33"/>
      <c r="BR79" s="7">
        <f t="shared" si="121"/>
        <v>0</v>
      </c>
      <c r="BS79" s="33"/>
      <c r="BT79" s="33"/>
      <c r="BU79" s="7">
        <f t="shared" si="122"/>
        <v>0</v>
      </c>
      <c r="BV79" s="33">
        <v>0</v>
      </c>
      <c r="BW79" s="7">
        <f t="shared" si="123"/>
        <v>0</v>
      </c>
      <c r="BX79" s="7">
        <f t="shared" si="124"/>
        <v>0</v>
      </c>
      <c r="BY79" s="33"/>
      <c r="BZ79" s="7">
        <f t="shared" si="125"/>
        <v>8000000</v>
      </c>
      <c r="CA79" s="7">
        <f t="shared" si="126"/>
        <v>8000000</v>
      </c>
      <c r="CB79" s="15">
        <f t="shared" si="127"/>
        <v>0</v>
      </c>
      <c r="CC79" s="15">
        <f t="shared" si="128"/>
        <v>0</v>
      </c>
      <c r="CD79" s="490" t="s">
        <v>734</v>
      </c>
      <c r="CE79" s="33">
        <f>10000000-5000000</f>
        <v>5000000</v>
      </c>
      <c r="CF79" s="33">
        <v>10000000</v>
      </c>
      <c r="CG79" s="33"/>
      <c r="CH79" s="33"/>
      <c r="CI79" s="7"/>
      <c r="CJ79" s="7"/>
      <c r="CK79" s="7"/>
      <c r="CL79" s="7"/>
      <c r="CM79" s="7"/>
      <c r="CN79" s="7"/>
      <c r="CO79" s="7"/>
      <c r="CP79" s="7"/>
      <c r="CQ79" s="7"/>
      <c r="CR79" s="7"/>
      <c r="CS79" s="7"/>
      <c r="CT79" s="7"/>
      <c r="CU79" s="7"/>
      <c r="CV79" s="7"/>
      <c r="CW79" s="7">
        <f t="shared" si="134"/>
        <v>0</v>
      </c>
      <c r="CX79" s="7"/>
      <c r="CY79" s="7"/>
      <c r="CZ79" s="7">
        <f t="shared" si="135"/>
        <v>0</v>
      </c>
      <c r="DA79" s="7"/>
      <c r="DB79" s="7"/>
      <c r="DC79" s="7"/>
      <c r="DD79" s="7"/>
      <c r="DE79" s="7"/>
      <c r="DF79" s="7"/>
      <c r="DG79" s="7"/>
      <c r="DH79" s="7"/>
      <c r="DI79" s="7"/>
      <c r="DJ79" s="7"/>
      <c r="DK79" s="7"/>
      <c r="DL79" s="7"/>
      <c r="DM79" s="7"/>
      <c r="DN79" s="14"/>
      <c r="DO79" s="14"/>
      <c r="DP79" s="7"/>
      <c r="DQ79" s="7">
        <f t="shared" si="136"/>
        <v>0</v>
      </c>
      <c r="DR79" s="7"/>
      <c r="DS79" s="15"/>
      <c r="DT79" s="15"/>
      <c r="DU79" s="33">
        <f>40000000+30000000+10000000</f>
        <v>80000000</v>
      </c>
      <c r="DV79" s="7"/>
      <c r="DW79" s="7"/>
      <c r="DX79" s="27"/>
      <c r="DY79" s="329"/>
    </row>
    <row r="80" spans="1:129" s="10" customFormat="1" ht="15" customHeight="1">
      <c r="A80" s="10" t="s">
        <v>82</v>
      </c>
      <c r="B80" s="24" t="s">
        <v>64</v>
      </c>
      <c r="C80" s="10" t="s">
        <v>650</v>
      </c>
      <c r="D80" s="24" t="s">
        <v>19</v>
      </c>
      <c r="E80" s="3">
        <v>525025</v>
      </c>
      <c r="F80" s="406">
        <v>4</v>
      </c>
      <c r="G80" s="406">
        <v>36</v>
      </c>
      <c r="H80" s="406">
        <v>1526</v>
      </c>
      <c r="I80" s="9" t="s">
        <v>34</v>
      </c>
      <c r="J80" s="10" t="s">
        <v>400</v>
      </c>
      <c r="K80" s="3">
        <v>4</v>
      </c>
      <c r="L80" s="3">
        <v>36</v>
      </c>
      <c r="M80" s="45"/>
      <c r="N80" s="3" t="s">
        <v>186</v>
      </c>
      <c r="O80" s="3" t="s">
        <v>186</v>
      </c>
      <c r="P80" s="3" t="s">
        <v>187</v>
      </c>
      <c r="Q80" s="3" t="s">
        <v>187</v>
      </c>
      <c r="R80" s="11" t="s">
        <v>196</v>
      </c>
      <c r="S80" s="3" t="s">
        <v>188</v>
      </c>
      <c r="T80" s="12" t="s">
        <v>519</v>
      </c>
      <c r="U80" s="12"/>
      <c r="V80" s="12" t="s">
        <v>222</v>
      </c>
      <c r="W80" s="12" t="s">
        <v>24</v>
      </c>
      <c r="X80" s="8" t="s">
        <v>19</v>
      </c>
      <c r="Y80" s="25" t="s">
        <v>69</v>
      </c>
      <c r="Z80" s="25" t="s">
        <v>146</v>
      </c>
      <c r="AA80" s="10" t="s">
        <v>558</v>
      </c>
      <c r="AB80" s="110" t="s">
        <v>37</v>
      </c>
      <c r="AC80" s="7">
        <v>25000000</v>
      </c>
      <c r="AD80" s="7"/>
      <c r="AE80" s="7">
        <f>AC80+AD80</f>
        <v>25000000</v>
      </c>
      <c r="AF80" s="7">
        <v>8000000</v>
      </c>
      <c r="AG80" s="33">
        <f t="shared" si="137"/>
        <v>33000000</v>
      </c>
      <c r="AH80" s="33">
        <f>2000000+1500000</f>
        <v>3500000</v>
      </c>
      <c r="AI80" s="7">
        <f t="shared" si="131"/>
        <v>36500000</v>
      </c>
      <c r="AJ80" s="472"/>
      <c r="AK80" s="7">
        <f>25000000-15000000</f>
        <v>10000000</v>
      </c>
      <c r="AL80" s="33">
        <v>0</v>
      </c>
      <c r="AM80" s="33">
        <v>0</v>
      </c>
      <c r="AN80" s="7">
        <f t="shared" si="111"/>
        <v>0</v>
      </c>
      <c r="AO80" s="33"/>
      <c r="AP80" s="33"/>
      <c r="AQ80" s="7">
        <f t="shared" si="112"/>
        <v>0</v>
      </c>
      <c r="AR80" s="33"/>
      <c r="AS80" s="33"/>
      <c r="AT80" s="7">
        <f t="shared" si="113"/>
        <v>0</v>
      </c>
      <c r="AU80" s="7"/>
      <c r="AV80" s="7"/>
      <c r="AW80" s="7">
        <f t="shared" si="114"/>
        <v>0</v>
      </c>
      <c r="AX80" s="7"/>
      <c r="AY80" s="7"/>
      <c r="AZ80" s="7">
        <f t="shared" si="115"/>
        <v>0</v>
      </c>
      <c r="BA80" s="7"/>
      <c r="BB80" s="7"/>
      <c r="BC80" s="7">
        <f t="shared" si="116"/>
        <v>0</v>
      </c>
      <c r="BD80" s="7"/>
      <c r="BE80" s="7"/>
      <c r="BF80" s="7">
        <f t="shared" si="117"/>
        <v>0</v>
      </c>
      <c r="BG80" s="7"/>
      <c r="BH80" s="7"/>
      <c r="BI80" s="7">
        <f t="shared" si="118"/>
        <v>0</v>
      </c>
      <c r="BJ80" s="7"/>
      <c r="BK80" s="7"/>
      <c r="BL80" s="7">
        <f t="shared" si="119"/>
        <v>0</v>
      </c>
      <c r="BM80" s="7"/>
      <c r="BN80" s="7"/>
      <c r="BO80" s="7">
        <f t="shared" si="120"/>
        <v>0</v>
      </c>
      <c r="BP80" s="7"/>
      <c r="BQ80" s="7"/>
      <c r="BR80" s="7">
        <f t="shared" si="121"/>
        <v>0</v>
      </c>
      <c r="BS80" s="7"/>
      <c r="BT80" s="7"/>
      <c r="BU80" s="7">
        <f t="shared" si="122"/>
        <v>0</v>
      </c>
      <c r="BV80" s="33">
        <v>0</v>
      </c>
      <c r="BW80" s="7">
        <f t="shared" si="123"/>
        <v>0</v>
      </c>
      <c r="BX80" s="7">
        <f t="shared" si="124"/>
        <v>0</v>
      </c>
      <c r="BY80" s="7"/>
      <c r="BZ80" s="7">
        <f t="shared" si="125"/>
        <v>10000000</v>
      </c>
      <c r="CA80" s="7">
        <f t="shared" si="126"/>
        <v>10000000</v>
      </c>
      <c r="CB80" s="15">
        <f t="shared" si="127"/>
        <v>0</v>
      </c>
      <c r="CC80" s="15">
        <f t="shared" si="128"/>
        <v>0</v>
      </c>
      <c r="CD80" s="489" t="s">
        <v>735</v>
      </c>
      <c r="CE80" s="7">
        <v>30000000</v>
      </c>
      <c r="CF80" s="33">
        <v>30000000</v>
      </c>
      <c r="CG80" s="33"/>
      <c r="CH80" s="33"/>
      <c r="CI80" s="7"/>
      <c r="CJ80" s="7">
        <f t="shared" si="94"/>
        <v>0</v>
      </c>
      <c r="CK80" s="7">
        <v>2916096.53</v>
      </c>
      <c r="CL80" s="7">
        <f>CK80+407474.91</f>
        <v>3323571.44</v>
      </c>
      <c r="CM80" s="7">
        <v>5902572.5700000003</v>
      </c>
      <c r="CN80" s="7">
        <v>533811.63</v>
      </c>
      <c r="CO80" s="7">
        <f t="shared" si="133"/>
        <v>6436384.2000000002</v>
      </c>
      <c r="CP80" s="7">
        <f t="shared" si="96"/>
        <v>8818669.0999999996</v>
      </c>
      <c r="CQ80" s="7">
        <f t="shared" si="97"/>
        <v>9759955.6400000006</v>
      </c>
      <c r="CR80" s="7">
        <v>4676639.5599999996</v>
      </c>
      <c r="CS80" s="7">
        <v>948056.69</v>
      </c>
      <c r="CT80" s="7">
        <f t="shared" ref="CT80:CT97" si="142">CR80+CS80</f>
        <v>5624696.25</v>
      </c>
      <c r="CU80" s="7">
        <v>4623433.8499999996</v>
      </c>
      <c r="CV80" s="7">
        <v>647280.74</v>
      </c>
      <c r="CW80" s="7">
        <f t="shared" si="134"/>
        <v>5270714.59</v>
      </c>
      <c r="CX80" s="7">
        <v>4357834.3</v>
      </c>
      <c r="CY80" s="7">
        <v>610096.81999999995</v>
      </c>
      <c r="CZ80" s="7">
        <f t="shared" si="135"/>
        <v>4967931.12</v>
      </c>
      <c r="DA80" s="7"/>
      <c r="DB80" s="7">
        <f t="shared" si="101"/>
        <v>0</v>
      </c>
      <c r="DC80" s="7"/>
      <c r="DD80" s="7">
        <f t="shared" si="102"/>
        <v>0</v>
      </c>
      <c r="DE80" s="7"/>
      <c r="DF80" s="7">
        <f t="shared" si="103"/>
        <v>0</v>
      </c>
      <c r="DG80" s="7"/>
      <c r="DH80" s="7">
        <f t="shared" si="104"/>
        <v>0</v>
      </c>
      <c r="DI80" s="7"/>
      <c r="DJ80" s="7">
        <f t="shared" si="105"/>
        <v>0</v>
      </c>
      <c r="DK80" s="7"/>
      <c r="DL80" s="7">
        <f t="shared" si="106"/>
        <v>0</v>
      </c>
      <c r="DM80" s="7">
        <v>2038718.1</v>
      </c>
      <c r="DN80" s="14">
        <f t="shared" si="132"/>
        <v>22476576.809999999</v>
      </c>
      <c r="DO80" s="14">
        <f t="shared" si="138"/>
        <v>25623297.600000001</v>
      </c>
      <c r="DP80" s="7"/>
      <c r="DQ80" s="7">
        <f t="shared" si="136"/>
        <v>10523423.190000001</v>
      </c>
      <c r="DR80" s="7">
        <f t="shared" si="139"/>
        <v>7376702.3999999985</v>
      </c>
      <c r="DS80" s="15">
        <f t="shared" si="140"/>
        <v>0.68110838818181818</v>
      </c>
      <c r="DT80" s="15">
        <f t="shared" si="141"/>
        <v>0.77646356363636371</v>
      </c>
      <c r="DU80" s="7">
        <v>110000000</v>
      </c>
      <c r="DV80" s="7"/>
      <c r="DW80" s="7"/>
      <c r="DX80" s="27"/>
      <c r="DY80" s="329"/>
    </row>
    <row r="81" spans="1:129" s="10" customFormat="1" ht="15" customHeight="1">
      <c r="A81" s="10" t="s">
        <v>82</v>
      </c>
      <c r="B81" s="24" t="s">
        <v>64</v>
      </c>
      <c r="C81" s="10" t="s">
        <v>650</v>
      </c>
      <c r="D81" s="24" t="s">
        <v>19</v>
      </c>
      <c r="E81" s="3">
        <v>525025</v>
      </c>
      <c r="F81" s="406">
        <v>4</v>
      </c>
      <c r="G81" s="406">
        <v>36</v>
      </c>
      <c r="H81" s="406">
        <v>1527</v>
      </c>
      <c r="I81" s="9" t="s">
        <v>34</v>
      </c>
      <c r="J81" s="10" t="s">
        <v>19</v>
      </c>
      <c r="K81" s="3">
        <v>4</v>
      </c>
      <c r="L81" s="3">
        <v>36</v>
      </c>
      <c r="M81" s="45"/>
      <c r="N81" s="3" t="s">
        <v>186</v>
      </c>
      <c r="O81" s="3" t="s">
        <v>186</v>
      </c>
      <c r="P81" s="3" t="s">
        <v>187</v>
      </c>
      <c r="Q81" s="3" t="s">
        <v>187</v>
      </c>
      <c r="R81" s="11" t="s">
        <v>196</v>
      </c>
      <c r="S81" s="3" t="s">
        <v>188</v>
      </c>
      <c r="T81" s="12" t="s">
        <v>519</v>
      </c>
      <c r="U81" s="12"/>
      <c r="V81" s="12" t="s">
        <v>222</v>
      </c>
      <c r="W81" s="12" t="s">
        <v>24</v>
      </c>
      <c r="X81" s="8" t="s">
        <v>19</v>
      </c>
      <c r="Y81" s="25" t="s">
        <v>69</v>
      </c>
      <c r="Z81" s="25" t="s">
        <v>146</v>
      </c>
      <c r="AA81" s="10" t="s">
        <v>559</v>
      </c>
      <c r="AB81" s="110" t="s">
        <v>37</v>
      </c>
      <c r="AC81" s="7"/>
      <c r="AD81" s="7"/>
      <c r="AE81" s="7"/>
      <c r="AF81" s="7"/>
      <c r="AG81" s="33"/>
      <c r="AH81" s="33"/>
      <c r="AI81" s="7"/>
      <c r="AJ81" s="472"/>
      <c r="AK81" s="7">
        <v>15000000</v>
      </c>
      <c r="AL81" s="33">
        <v>0</v>
      </c>
      <c r="AM81" s="33">
        <v>0</v>
      </c>
      <c r="AN81" s="7">
        <f t="shared" si="111"/>
        <v>0</v>
      </c>
      <c r="AO81" s="33"/>
      <c r="AP81" s="33"/>
      <c r="AQ81" s="7">
        <f t="shared" si="112"/>
        <v>0</v>
      </c>
      <c r="AR81" s="33"/>
      <c r="AS81" s="33"/>
      <c r="AT81" s="7">
        <f t="shared" si="113"/>
        <v>0</v>
      </c>
      <c r="AU81" s="33"/>
      <c r="AV81" s="33"/>
      <c r="AW81" s="7">
        <f t="shared" si="114"/>
        <v>0</v>
      </c>
      <c r="AX81" s="33"/>
      <c r="AY81" s="33"/>
      <c r="AZ81" s="7">
        <f t="shared" si="115"/>
        <v>0</v>
      </c>
      <c r="BA81" s="33"/>
      <c r="BB81" s="33"/>
      <c r="BC81" s="7">
        <f t="shared" si="116"/>
        <v>0</v>
      </c>
      <c r="BD81" s="33"/>
      <c r="BE81" s="33"/>
      <c r="BF81" s="7">
        <f t="shared" si="117"/>
        <v>0</v>
      </c>
      <c r="BG81" s="33"/>
      <c r="BH81" s="33"/>
      <c r="BI81" s="7">
        <f t="shared" si="118"/>
        <v>0</v>
      </c>
      <c r="BJ81" s="33"/>
      <c r="BK81" s="33"/>
      <c r="BL81" s="7">
        <f t="shared" si="119"/>
        <v>0</v>
      </c>
      <c r="BM81" s="33"/>
      <c r="BN81" s="33"/>
      <c r="BO81" s="7">
        <f t="shared" si="120"/>
        <v>0</v>
      </c>
      <c r="BP81" s="33"/>
      <c r="BQ81" s="33"/>
      <c r="BR81" s="7">
        <f t="shared" si="121"/>
        <v>0</v>
      </c>
      <c r="BS81" s="33"/>
      <c r="BT81" s="33"/>
      <c r="BU81" s="7">
        <f t="shared" si="122"/>
        <v>0</v>
      </c>
      <c r="BV81" s="33">
        <v>0</v>
      </c>
      <c r="BW81" s="7">
        <f t="shared" si="123"/>
        <v>0</v>
      </c>
      <c r="BX81" s="7">
        <f t="shared" si="124"/>
        <v>0</v>
      </c>
      <c r="BY81" s="33"/>
      <c r="BZ81" s="7">
        <f t="shared" si="125"/>
        <v>15000000</v>
      </c>
      <c r="CA81" s="7">
        <f t="shared" si="126"/>
        <v>15000000</v>
      </c>
      <c r="CB81" s="15">
        <f t="shared" si="127"/>
        <v>0</v>
      </c>
      <c r="CC81" s="15">
        <f t="shared" si="128"/>
        <v>0</v>
      </c>
      <c r="CD81" s="490" t="s">
        <v>736</v>
      </c>
      <c r="CE81" s="33">
        <v>0</v>
      </c>
      <c r="CF81" s="33">
        <v>0</v>
      </c>
      <c r="CG81" s="33"/>
      <c r="CH81" s="33"/>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14"/>
      <c r="DO81" s="14"/>
      <c r="DP81" s="7"/>
      <c r="DQ81" s="7"/>
      <c r="DR81" s="7"/>
      <c r="DS81" s="15"/>
      <c r="DT81" s="15"/>
      <c r="DU81" s="7"/>
      <c r="DV81" s="7"/>
      <c r="DW81" s="7"/>
      <c r="DX81" s="27"/>
      <c r="DY81" s="329"/>
    </row>
    <row r="82" spans="1:129" s="10" customFormat="1" ht="15" customHeight="1">
      <c r="A82" s="10" t="s">
        <v>82</v>
      </c>
      <c r="B82" s="24" t="s">
        <v>64</v>
      </c>
      <c r="C82" s="10" t="s">
        <v>650</v>
      </c>
      <c r="D82" s="24" t="s">
        <v>19</v>
      </c>
      <c r="E82" s="3">
        <v>525025</v>
      </c>
      <c r="F82" s="406">
        <v>4</v>
      </c>
      <c r="G82" s="406">
        <v>36</v>
      </c>
      <c r="H82" s="406">
        <v>1528</v>
      </c>
      <c r="I82" s="9" t="s">
        <v>34</v>
      </c>
      <c r="J82" s="10" t="s">
        <v>19</v>
      </c>
      <c r="K82" s="3">
        <v>4</v>
      </c>
      <c r="L82" s="3">
        <v>36</v>
      </c>
      <c r="M82" s="45"/>
      <c r="N82" s="3" t="s">
        <v>186</v>
      </c>
      <c r="O82" s="3" t="s">
        <v>186</v>
      </c>
      <c r="P82" s="3" t="s">
        <v>187</v>
      </c>
      <c r="Q82" s="3" t="s">
        <v>187</v>
      </c>
      <c r="R82" s="11" t="s">
        <v>196</v>
      </c>
      <c r="S82" s="3" t="s">
        <v>188</v>
      </c>
      <c r="T82" s="12" t="s">
        <v>519</v>
      </c>
      <c r="U82" s="12"/>
      <c r="V82" s="12" t="s">
        <v>222</v>
      </c>
      <c r="W82" s="12" t="s">
        <v>24</v>
      </c>
      <c r="X82" s="8" t="s">
        <v>19</v>
      </c>
      <c r="Y82" s="25" t="s">
        <v>69</v>
      </c>
      <c r="Z82" s="25" t="s">
        <v>184</v>
      </c>
      <c r="AA82" s="10" t="s">
        <v>257</v>
      </c>
      <c r="AB82" s="110" t="s">
        <v>37</v>
      </c>
      <c r="AC82" s="7">
        <v>15000000</v>
      </c>
      <c r="AD82" s="7"/>
      <c r="AE82" s="7">
        <f>AC82+AD82</f>
        <v>15000000</v>
      </c>
      <c r="AF82" s="7">
        <v>-6000000</v>
      </c>
      <c r="AG82" s="33">
        <f t="shared" si="137"/>
        <v>9000000</v>
      </c>
      <c r="AH82" s="33"/>
      <c r="AI82" s="7">
        <f t="shared" si="131"/>
        <v>9000000</v>
      </c>
      <c r="AJ82" s="472"/>
      <c r="AK82" s="7">
        <v>2000000</v>
      </c>
      <c r="AL82" s="33">
        <v>0</v>
      </c>
      <c r="AM82" s="33">
        <v>0</v>
      </c>
      <c r="AN82" s="7">
        <f t="shared" si="111"/>
        <v>0</v>
      </c>
      <c r="AO82" s="33"/>
      <c r="AP82" s="33"/>
      <c r="AQ82" s="7">
        <f t="shared" si="112"/>
        <v>0</v>
      </c>
      <c r="AR82" s="33"/>
      <c r="AS82" s="33"/>
      <c r="AT82" s="7">
        <f t="shared" si="113"/>
        <v>0</v>
      </c>
      <c r="AU82" s="33"/>
      <c r="AV82" s="33"/>
      <c r="AW82" s="7">
        <f t="shared" si="114"/>
        <v>0</v>
      </c>
      <c r="AX82" s="33"/>
      <c r="AY82" s="33"/>
      <c r="AZ82" s="7">
        <f t="shared" si="115"/>
        <v>0</v>
      </c>
      <c r="BA82" s="33"/>
      <c r="BB82" s="33"/>
      <c r="BC82" s="7">
        <f t="shared" si="116"/>
        <v>0</v>
      </c>
      <c r="BD82" s="33"/>
      <c r="BE82" s="33"/>
      <c r="BF82" s="7">
        <f t="shared" si="117"/>
        <v>0</v>
      </c>
      <c r="BG82" s="33"/>
      <c r="BH82" s="33"/>
      <c r="BI82" s="7">
        <f t="shared" si="118"/>
        <v>0</v>
      </c>
      <c r="BJ82" s="33"/>
      <c r="BK82" s="33"/>
      <c r="BL82" s="7">
        <f t="shared" si="119"/>
        <v>0</v>
      </c>
      <c r="BM82" s="33"/>
      <c r="BN82" s="33"/>
      <c r="BO82" s="7">
        <f t="shared" si="120"/>
        <v>0</v>
      </c>
      <c r="BP82" s="33"/>
      <c r="BQ82" s="33"/>
      <c r="BR82" s="7">
        <f t="shared" si="121"/>
        <v>0</v>
      </c>
      <c r="BS82" s="33"/>
      <c r="BT82" s="33"/>
      <c r="BU82" s="7">
        <f t="shared" si="122"/>
        <v>0</v>
      </c>
      <c r="BV82" s="33">
        <v>0</v>
      </c>
      <c r="BW82" s="7">
        <f t="shared" si="123"/>
        <v>0</v>
      </c>
      <c r="BX82" s="7">
        <f t="shared" si="124"/>
        <v>0</v>
      </c>
      <c r="BY82" s="33"/>
      <c r="BZ82" s="7">
        <f t="shared" si="125"/>
        <v>2000000</v>
      </c>
      <c r="CA82" s="7">
        <f t="shared" si="126"/>
        <v>2000000</v>
      </c>
      <c r="CB82" s="15">
        <f t="shared" si="127"/>
        <v>0</v>
      </c>
      <c r="CC82" s="15">
        <f t="shared" si="128"/>
        <v>0</v>
      </c>
      <c r="CD82" s="490" t="s">
        <v>734</v>
      </c>
      <c r="CE82" s="33">
        <v>0</v>
      </c>
      <c r="CF82" s="33">
        <v>0</v>
      </c>
      <c r="CG82" s="33"/>
      <c r="CH82" s="33"/>
      <c r="CI82" s="7"/>
      <c r="CJ82" s="7">
        <f t="shared" si="94"/>
        <v>0</v>
      </c>
      <c r="CK82" s="7"/>
      <c r="CL82" s="7">
        <f>CK82</f>
        <v>0</v>
      </c>
      <c r="CM82" s="7">
        <v>90883.71</v>
      </c>
      <c r="CN82" s="7"/>
      <c r="CO82" s="7">
        <f t="shared" si="133"/>
        <v>90883.71</v>
      </c>
      <c r="CP82" s="7">
        <f>CI82+CK82+CM82</f>
        <v>90883.71</v>
      </c>
      <c r="CQ82" s="7">
        <f>CJ82+CL82+CO82</f>
        <v>90883.71</v>
      </c>
      <c r="CR82" s="7"/>
      <c r="CS82" s="7"/>
      <c r="CT82" s="7">
        <f t="shared" si="142"/>
        <v>0</v>
      </c>
      <c r="CU82" s="7"/>
      <c r="CV82" s="7"/>
      <c r="CW82" s="7">
        <f t="shared" si="134"/>
        <v>0</v>
      </c>
      <c r="CX82" s="7">
        <v>7999784.8300000001</v>
      </c>
      <c r="CY82" s="7"/>
      <c r="CZ82" s="7">
        <f t="shared" si="135"/>
        <v>7999784.8300000001</v>
      </c>
      <c r="DA82" s="7"/>
      <c r="DB82" s="7">
        <f t="shared" si="101"/>
        <v>0</v>
      </c>
      <c r="DC82" s="7"/>
      <c r="DD82" s="7">
        <f t="shared" si="102"/>
        <v>0</v>
      </c>
      <c r="DE82" s="7"/>
      <c r="DF82" s="7">
        <f t="shared" si="103"/>
        <v>0</v>
      </c>
      <c r="DG82" s="7"/>
      <c r="DH82" s="7">
        <f t="shared" si="104"/>
        <v>0</v>
      </c>
      <c r="DI82" s="7"/>
      <c r="DJ82" s="7">
        <f t="shared" si="105"/>
        <v>0</v>
      </c>
      <c r="DK82" s="7"/>
      <c r="DL82" s="7">
        <f t="shared" si="106"/>
        <v>0</v>
      </c>
      <c r="DM82" s="7"/>
      <c r="DN82" s="14">
        <f t="shared" si="132"/>
        <v>8090668.54</v>
      </c>
      <c r="DO82" s="14">
        <f t="shared" si="138"/>
        <v>8090668.54</v>
      </c>
      <c r="DP82" s="7"/>
      <c r="DQ82" s="7">
        <f t="shared" si="136"/>
        <v>909331.46</v>
      </c>
      <c r="DR82" s="7">
        <f t="shared" si="139"/>
        <v>909331.46</v>
      </c>
      <c r="DS82" s="15">
        <f t="shared" si="140"/>
        <v>0.89896317111111113</v>
      </c>
      <c r="DT82" s="15">
        <f t="shared" si="141"/>
        <v>0.89896317111111113</v>
      </c>
      <c r="DU82" s="7"/>
      <c r="DV82" s="7"/>
      <c r="DW82" s="7"/>
      <c r="DX82" s="27"/>
      <c r="DY82" s="329"/>
    </row>
    <row r="83" spans="1:129" s="10" customFormat="1" ht="35.25" customHeight="1">
      <c r="A83" s="10" t="s">
        <v>82</v>
      </c>
      <c r="B83" s="24" t="s">
        <v>85</v>
      </c>
      <c r="C83" s="10" t="s">
        <v>233</v>
      </c>
      <c r="D83" s="24"/>
      <c r="E83" s="3">
        <v>530020</v>
      </c>
      <c r="F83" s="406">
        <v>4</v>
      </c>
      <c r="G83" s="412" t="s">
        <v>187</v>
      </c>
      <c r="H83" s="406">
        <v>1523</v>
      </c>
      <c r="I83" s="9" t="s">
        <v>14</v>
      </c>
      <c r="J83" s="10" t="s">
        <v>400</v>
      </c>
      <c r="K83" s="3">
        <v>4</v>
      </c>
      <c r="L83" s="11" t="s">
        <v>187</v>
      </c>
      <c r="M83" s="45"/>
      <c r="N83" s="11" t="s">
        <v>186</v>
      </c>
      <c r="O83" s="3" t="s">
        <v>186</v>
      </c>
      <c r="P83" s="3" t="s">
        <v>187</v>
      </c>
      <c r="Q83" s="3" t="s">
        <v>187</v>
      </c>
      <c r="R83" s="3">
        <v>250</v>
      </c>
      <c r="S83" s="3" t="s">
        <v>188</v>
      </c>
      <c r="T83" s="12" t="s">
        <v>46</v>
      </c>
      <c r="U83" s="12" t="s">
        <v>222</v>
      </c>
      <c r="V83" s="12"/>
      <c r="W83" s="51" t="s">
        <v>5</v>
      </c>
      <c r="X83" s="8" t="s">
        <v>55</v>
      </c>
      <c r="Y83" s="25" t="s">
        <v>69</v>
      </c>
      <c r="Z83" s="25" t="s">
        <v>92</v>
      </c>
      <c r="AA83" s="10" t="s">
        <v>526</v>
      </c>
      <c r="AB83" s="12" t="s">
        <v>8</v>
      </c>
      <c r="AC83" s="52">
        <v>0</v>
      </c>
      <c r="AD83" s="52"/>
      <c r="AE83" s="7">
        <f>AC83+AD83</f>
        <v>0</v>
      </c>
      <c r="AF83" s="7"/>
      <c r="AG83" s="33">
        <f t="shared" si="137"/>
        <v>0</v>
      </c>
      <c r="AH83" s="33"/>
      <c r="AI83" s="7">
        <f t="shared" si="131"/>
        <v>0</v>
      </c>
      <c r="AJ83" s="472"/>
      <c r="AK83" s="27">
        <f>25000000-10000000+300000+3000000</f>
        <v>18300000</v>
      </c>
      <c r="AL83" s="36">
        <v>0</v>
      </c>
      <c r="AM83" s="36">
        <v>0</v>
      </c>
      <c r="AN83" s="7">
        <f t="shared" si="111"/>
        <v>0</v>
      </c>
      <c r="AO83" s="36"/>
      <c r="AP83" s="36"/>
      <c r="AQ83" s="7">
        <f t="shared" si="112"/>
        <v>0</v>
      </c>
      <c r="AR83" s="36"/>
      <c r="AS83" s="36"/>
      <c r="AT83" s="7">
        <f t="shared" si="113"/>
        <v>0</v>
      </c>
      <c r="AU83" s="7"/>
      <c r="AV83" s="7"/>
      <c r="AW83" s="7">
        <f t="shared" si="114"/>
        <v>0</v>
      </c>
      <c r="AX83" s="7"/>
      <c r="AY83" s="7"/>
      <c r="AZ83" s="7">
        <f t="shared" si="115"/>
        <v>0</v>
      </c>
      <c r="BA83" s="7"/>
      <c r="BB83" s="7"/>
      <c r="BC83" s="7">
        <f t="shared" si="116"/>
        <v>0</v>
      </c>
      <c r="BD83" s="7"/>
      <c r="BE83" s="7"/>
      <c r="BF83" s="7">
        <f t="shared" si="117"/>
        <v>0</v>
      </c>
      <c r="BG83" s="7"/>
      <c r="BH83" s="7"/>
      <c r="BI83" s="7">
        <f t="shared" si="118"/>
        <v>0</v>
      </c>
      <c r="BJ83" s="7"/>
      <c r="BK83" s="7"/>
      <c r="BL83" s="7">
        <f t="shared" si="119"/>
        <v>0</v>
      </c>
      <c r="BM83" s="7"/>
      <c r="BN83" s="7"/>
      <c r="BO83" s="7">
        <f t="shared" si="120"/>
        <v>0</v>
      </c>
      <c r="BP83" s="7"/>
      <c r="BQ83" s="7"/>
      <c r="BR83" s="7">
        <f t="shared" si="121"/>
        <v>0</v>
      </c>
      <c r="BS83" s="7"/>
      <c r="BT83" s="7"/>
      <c r="BU83" s="7">
        <f t="shared" si="122"/>
        <v>0</v>
      </c>
      <c r="BV83" s="33">
        <v>0</v>
      </c>
      <c r="BW83" s="7">
        <f t="shared" si="123"/>
        <v>0</v>
      </c>
      <c r="BX83" s="7">
        <f t="shared" si="124"/>
        <v>0</v>
      </c>
      <c r="BY83" s="7"/>
      <c r="BZ83" s="7">
        <f t="shared" si="125"/>
        <v>18300000</v>
      </c>
      <c r="CA83" s="7">
        <f t="shared" si="126"/>
        <v>18300000</v>
      </c>
      <c r="CB83" s="15">
        <f t="shared" si="127"/>
        <v>0</v>
      </c>
      <c r="CC83" s="15">
        <f t="shared" si="128"/>
        <v>0</v>
      </c>
      <c r="CD83" s="7"/>
      <c r="CE83" s="7">
        <f>15000000+3000000</f>
        <v>18000000</v>
      </c>
      <c r="CF83" s="33">
        <f>15000000+3000000</f>
        <v>18000000</v>
      </c>
      <c r="CG83" s="33"/>
      <c r="CH83" s="33"/>
      <c r="CI83" s="52"/>
      <c r="CJ83" s="7">
        <f t="shared" si="94"/>
        <v>0</v>
      </c>
      <c r="CK83" s="52"/>
      <c r="CL83" s="7">
        <f>CK83</f>
        <v>0</v>
      </c>
      <c r="CM83" s="52"/>
      <c r="CN83" s="52"/>
      <c r="CO83" s="7">
        <f t="shared" si="133"/>
        <v>0</v>
      </c>
      <c r="CP83" s="7">
        <f>CI83+CK83+CM83</f>
        <v>0</v>
      </c>
      <c r="CQ83" s="7">
        <f>CJ83+CL83+CO83</f>
        <v>0</v>
      </c>
      <c r="CR83" s="52"/>
      <c r="CS83" s="52"/>
      <c r="CT83" s="7">
        <f t="shared" si="142"/>
        <v>0</v>
      </c>
      <c r="CU83" s="52"/>
      <c r="CV83" s="52"/>
      <c r="CW83" s="7">
        <f t="shared" si="134"/>
        <v>0</v>
      </c>
      <c r="CX83" s="52"/>
      <c r="CY83" s="52"/>
      <c r="CZ83" s="7">
        <f t="shared" si="135"/>
        <v>0</v>
      </c>
      <c r="DA83" s="52"/>
      <c r="DB83" s="7">
        <f t="shared" si="101"/>
        <v>0</v>
      </c>
      <c r="DC83" s="52"/>
      <c r="DD83" s="7">
        <f t="shared" si="102"/>
        <v>0</v>
      </c>
      <c r="DE83" s="52"/>
      <c r="DF83" s="7">
        <f t="shared" si="103"/>
        <v>0</v>
      </c>
      <c r="DG83" s="52"/>
      <c r="DH83" s="7">
        <f t="shared" si="104"/>
        <v>0</v>
      </c>
      <c r="DI83" s="52"/>
      <c r="DJ83" s="7">
        <f t="shared" si="105"/>
        <v>0</v>
      </c>
      <c r="DK83" s="52"/>
      <c r="DL83" s="7">
        <f t="shared" si="106"/>
        <v>0</v>
      </c>
      <c r="DM83" s="52"/>
      <c r="DN83" s="14">
        <f t="shared" si="132"/>
        <v>0</v>
      </c>
      <c r="DO83" s="14">
        <f t="shared" si="138"/>
        <v>0</v>
      </c>
      <c r="DP83" s="7"/>
      <c r="DQ83" s="7">
        <f t="shared" si="136"/>
        <v>0</v>
      </c>
      <c r="DR83" s="7">
        <f t="shared" si="139"/>
        <v>0</v>
      </c>
      <c r="DS83" s="15" t="e">
        <f t="shared" si="140"/>
        <v>#DIV/0!</v>
      </c>
      <c r="DT83" s="15" t="e">
        <f t="shared" si="141"/>
        <v>#DIV/0!</v>
      </c>
      <c r="DU83" s="15"/>
      <c r="DV83" s="15"/>
      <c r="DW83" s="7"/>
      <c r="DX83" s="59"/>
      <c r="DY83" s="329"/>
    </row>
    <row r="84" spans="1:129" s="10" customFormat="1" ht="31.5" customHeight="1">
      <c r="A84" s="10" t="s">
        <v>82</v>
      </c>
      <c r="B84" s="24" t="s">
        <v>63</v>
      </c>
      <c r="C84" s="10" t="s">
        <v>234</v>
      </c>
      <c r="D84" s="24"/>
      <c r="E84" s="26">
        <v>535025</v>
      </c>
      <c r="F84" s="407">
        <v>4</v>
      </c>
      <c r="G84" s="413" t="s">
        <v>187</v>
      </c>
      <c r="H84" s="407">
        <v>1524</v>
      </c>
      <c r="I84" s="9" t="s">
        <v>14</v>
      </c>
      <c r="J84" s="10" t="s">
        <v>14</v>
      </c>
      <c r="K84" s="3">
        <v>4</v>
      </c>
      <c r="L84" s="11" t="s">
        <v>187</v>
      </c>
      <c r="M84" s="45"/>
      <c r="N84" s="11" t="s">
        <v>186</v>
      </c>
      <c r="O84" s="3" t="s">
        <v>186</v>
      </c>
      <c r="P84" s="3" t="s">
        <v>187</v>
      </c>
      <c r="Q84" s="3" t="s">
        <v>187</v>
      </c>
      <c r="R84" s="11" t="s">
        <v>197</v>
      </c>
      <c r="S84" s="3" t="s">
        <v>188</v>
      </c>
      <c r="T84" s="12" t="s">
        <v>518</v>
      </c>
      <c r="U84" s="12"/>
      <c r="V84" s="12" t="s">
        <v>222</v>
      </c>
      <c r="W84" s="12" t="s">
        <v>14</v>
      </c>
      <c r="X84" s="8" t="s">
        <v>51</v>
      </c>
      <c r="Y84" s="25" t="s">
        <v>69</v>
      </c>
      <c r="Z84" s="401" t="s">
        <v>147</v>
      </c>
      <c r="AA84" s="258" t="s">
        <v>508</v>
      </c>
      <c r="AB84" s="12" t="s">
        <v>8</v>
      </c>
      <c r="AC84" s="7">
        <f>20000000-600000-470000-555000-420000-3000000-3600000-1700000-1007000-356500-730100-373500-235500-210400-900000-556300</f>
        <v>5285700</v>
      </c>
      <c r="AD84" s="7"/>
      <c r="AE84" s="7">
        <v>438631.88</v>
      </c>
      <c r="AF84" s="7"/>
      <c r="AG84" s="33">
        <f t="shared" si="137"/>
        <v>438631.88</v>
      </c>
      <c r="AH84" s="33">
        <v>29084305</v>
      </c>
      <c r="AI84" s="7">
        <f t="shared" si="131"/>
        <v>29522936.879999999</v>
      </c>
      <c r="AJ84" s="472"/>
      <c r="AK84" s="27">
        <v>40000000</v>
      </c>
      <c r="AL84" s="36">
        <v>0</v>
      </c>
      <c r="AM84" s="36">
        <v>0</v>
      </c>
      <c r="AN84" s="7">
        <f t="shared" si="111"/>
        <v>0</v>
      </c>
      <c r="AO84" s="36"/>
      <c r="AP84" s="36"/>
      <c r="AQ84" s="7">
        <f t="shared" si="112"/>
        <v>0</v>
      </c>
      <c r="AR84" s="36"/>
      <c r="AS84" s="36"/>
      <c r="AT84" s="7">
        <f t="shared" si="113"/>
        <v>0</v>
      </c>
      <c r="AU84" s="7"/>
      <c r="AV84" s="7"/>
      <c r="AW84" s="7">
        <f t="shared" si="114"/>
        <v>0</v>
      </c>
      <c r="AX84" s="7"/>
      <c r="AY84" s="7"/>
      <c r="AZ84" s="7">
        <f t="shared" si="115"/>
        <v>0</v>
      </c>
      <c r="BA84" s="7"/>
      <c r="BB84" s="7"/>
      <c r="BC84" s="7">
        <f t="shared" si="116"/>
        <v>0</v>
      </c>
      <c r="BD84" s="7"/>
      <c r="BE84" s="7"/>
      <c r="BF84" s="7">
        <f t="shared" si="117"/>
        <v>0</v>
      </c>
      <c r="BG84" s="7"/>
      <c r="BH84" s="7"/>
      <c r="BI84" s="7">
        <f t="shared" si="118"/>
        <v>0</v>
      </c>
      <c r="BJ84" s="7"/>
      <c r="BK84" s="7"/>
      <c r="BL84" s="7">
        <f t="shared" si="119"/>
        <v>0</v>
      </c>
      <c r="BM84" s="7"/>
      <c r="BN84" s="7"/>
      <c r="BO84" s="7">
        <f t="shared" si="120"/>
        <v>0</v>
      </c>
      <c r="BP84" s="7"/>
      <c r="BQ84" s="7"/>
      <c r="BR84" s="7">
        <f t="shared" si="121"/>
        <v>0</v>
      </c>
      <c r="BS84" s="7"/>
      <c r="BT84" s="7"/>
      <c r="BU84" s="7">
        <f t="shared" si="122"/>
        <v>0</v>
      </c>
      <c r="BV84" s="33">
        <v>0</v>
      </c>
      <c r="BW84" s="7">
        <f t="shared" si="123"/>
        <v>0</v>
      </c>
      <c r="BX84" s="7">
        <f t="shared" si="124"/>
        <v>0</v>
      </c>
      <c r="BY84" s="7"/>
      <c r="BZ84" s="7">
        <f t="shared" si="125"/>
        <v>40000000</v>
      </c>
      <c r="CA84" s="7">
        <f t="shared" si="126"/>
        <v>40000000</v>
      </c>
      <c r="CB84" s="15">
        <f t="shared" si="127"/>
        <v>0</v>
      </c>
      <c r="CC84" s="15">
        <f t="shared" si="128"/>
        <v>0</v>
      </c>
      <c r="CD84" s="489" t="s">
        <v>737</v>
      </c>
      <c r="CE84" s="7">
        <v>50000000</v>
      </c>
      <c r="CF84" s="33">
        <v>60000000</v>
      </c>
      <c r="CG84" s="33"/>
      <c r="CH84" s="33"/>
      <c r="CI84" s="7"/>
      <c r="CJ84" s="7">
        <f t="shared" si="94"/>
        <v>0</v>
      </c>
      <c r="CK84" s="7"/>
      <c r="CL84" s="7">
        <f>CK84</f>
        <v>0</v>
      </c>
      <c r="CM84" s="7"/>
      <c r="CN84" s="7"/>
      <c r="CO84" s="7">
        <f t="shared" si="133"/>
        <v>0</v>
      </c>
      <c r="CP84" s="7">
        <f>CI84+CK84+CM84</f>
        <v>0</v>
      </c>
      <c r="CQ84" s="7">
        <f>CJ84+CL84+CO84</f>
        <v>0</v>
      </c>
      <c r="CR84" s="7"/>
      <c r="CS84" s="7"/>
      <c r="CT84" s="7">
        <f t="shared" si="142"/>
        <v>0</v>
      </c>
      <c r="CU84" s="7"/>
      <c r="CV84" s="7"/>
      <c r="CW84" s="7">
        <f t="shared" si="134"/>
        <v>0</v>
      </c>
      <c r="CX84" s="7"/>
      <c r="CY84" s="7"/>
      <c r="CZ84" s="7">
        <f t="shared" si="135"/>
        <v>0</v>
      </c>
      <c r="DA84" s="7"/>
      <c r="DB84" s="7">
        <f t="shared" si="101"/>
        <v>0</v>
      </c>
      <c r="DC84" s="7"/>
      <c r="DD84" s="7">
        <f t="shared" si="102"/>
        <v>0</v>
      </c>
      <c r="DE84" s="7"/>
      <c r="DF84" s="7">
        <f t="shared" si="103"/>
        <v>0</v>
      </c>
      <c r="DG84" s="7"/>
      <c r="DH84" s="7">
        <f t="shared" si="104"/>
        <v>0</v>
      </c>
      <c r="DI84" s="7"/>
      <c r="DJ84" s="7">
        <f t="shared" si="105"/>
        <v>0</v>
      </c>
      <c r="DK84" s="7"/>
      <c r="DL84" s="7">
        <f t="shared" si="106"/>
        <v>0</v>
      </c>
      <c r="DM84" s="7"/>
      <c r="DN84" s="14">
        <f t="shared" si="132"/>
        <v>0</v>
      </c>
      <c r="DO84" s="14">
        <f t="shared" si="138"/>
        <v>0</v>
      </c>
      <c r="DP84" s="7"/>
      <c r="DQ84" s="7">
        <f t="shared" si="136"/>
        <v>438631.88</v>
      </c>
      <c r="DR84" s="7">
        <f t="shared" si="139"/>
        <v>438631.88</v>
      </c>
      <c r="DS84" s="15">
        <f t="shared" si="140"/>
        <v>0</v>
      </c>
      <c r="DT84" s="15">
        <f t="shared" si="141"/>
        <v>0</v>
      </c>
      <c r="DU84" s="15"/>
      <c r="DV84" s="15"/>
      <c r="DW84" s="7"/>
      <c r="DX84" s="27"/>
      <c r="DY84" s="329"/>
    </row>
    <row r="85" spans="1:129" s="10" customFormat="1" ht="50.25" customHeight="1">
      <c r="A85" s="10" t="s">
        <v>82</v>
      </c>
      <c r="B85" s="24" t="s">
        <v>63</v>
      </c>
      <c r="C85" s="10" t="s">
        <v>234</v>
      </c>
      <c r="D85" s="24"/>
      <c r="E85" s="26">
        <v>535025</v>
      </c>
      <c r="F85" s="407">
        <v>4</v>
      </c>
      <c r="G85" s="413" t="s">
        <v>187</v>
      </c>
      <c r="H85" s="407">
        <v>1525</v>
      </c>
      <c r="I85" s="9" t="s">
        <v>14</v>
      </c>
      <c r="J85" s="10" t="s">
        <v>14</v>
      </c>
      <c r="K85" s="3">
        <v>4</v>
      </c>
      <c r="L85" s="11" t="s">
        <v>187</v>
      </c>
      <c r="M85" s="45"/>
      <c r="N85" s="11" t="s">
        <v>186</v>
      </c>
      <c r="O85" s="3" t="s">
        <v>186</v>
      </c>
      <c r="P85" s="3" t="s">
        <v>187</v>
      </c>
      <c r="Q85" s="3" t="s">
        <v>187</v>
      </c>
      <c r="R85" s="11" t="s">
        <v>197</v>
      </c>
      <c r="S85" s="3" t="s">
        <v>188</v>
      </c>
      <c r="T85" s="12" t="s">
        <v>518</v>
      </c>
      <c r="U85" s="12"/>
      <c r="V85" s="12" t="s">
        <v>222</v>
      </c>
      <c r="W85" s="12" t="s">
        <v>14</v>
      </c>
      <c r="X85" s="8" t="s">
        <v>51</v>
      </c>
      <c r="Y85" s="25" t="s">
        <v>69</v>
      </c>
      <c r="Z85" s="401" t="s">
        <v>147</v>
      </c>
      <c r="AA85" s="258" t="s">
        <v>450</v>
      </c>
      <c r="AB85" s="12" t="s">
        <v>8</v>
      </c>
      <c r="AC85" s="7"/>
      <c r="AD85" s="7"/>
      <c r="AE85" s="7"/>
      <c r="AF85" s="7"/>
      <c r="AG85" s="33"/>
      <c r="AH85" s="33"/>
      <c r="AI85" s="7"/>
      <c r="AJ85" s="472"/>
      <c r="AK85" s="27">
        <v>40000000</v>
      </c>
      <c r="AL85" s="36">
        <v>0</v>
      </c>
      <c r="AM85" s="36">
        <v>0</v>
      </c>
      <c r="AN85" s="7">
        <f t="shared" si="111"/>
        <v>0</v>
      </c>
      <c r="AO85" s="36"/>
      <c r="AP85" s="36"/>
      <c r="AQ85" s="7">
        <f t="shared" si="112"/>
        <v>0</v>
      </c>
      <c r="AR85" s="36"/>
      <c r="AS85" s="36"/>
      <c r="AT85" s="7">
        <f t="shared" si="113"/>
        <v>0</v>
      </c>
      <c r="AU85" s="7"/>
      <c r="AV85" s="7"/>
      <c r="AW85" s="7">
        <f t="shared" si="114"/>
        <v>0</v>
      </c>
      <c r="AX85" s="7"/>
      <c r="AY85" s="7"/>
      <c r="AZ85" s="7">
        <f t="shared" si="115"/>
        <v>0</v>
      </c>
      <c r="BA85" s="7"/>
      <c r="BB85" s="7"/>
      <c r="BC85" s="7">
        <f t="shared" si="116"/>
        <v>0</v>
      </c>
      <c r="BD85" s="7"/>
      <c r="BE85" s="7"/>
      <c r="BF85" s="7">
        <f t="shared" si="117"/>
        <v>0</v>
      </c>
      <c r="BG85" s="7"/>
      <c r="BH85" s="7"/>
      <c r="BI85" s="7">
        <f t="shared" si="118"/>
        <v>0</v>
      </c>
      <c r="BJ85" s="7"/>
      <c r="BK85" s="7"/>
      <c r="BL85" s="7">
        <f t="shared" si="119"/>
        <v>0</v>
      </c>
      <c r="BM85" s="7"/>
      <c r="BN85" s="7"/>
      <c r="BO85" s="7">
        <f t="shared" si="120"/>
        <v>0</v>
      </c>
      <c r="BP85" s="7"/>
      <c r="BQ85" s="7"/>
      <c r="BR85" s="7">
        <f t="shared" si="121"/>
        <v>0</v>
      </c>
      <c r="BS85" s="7"/>
      <c r="BT85" s="7"/>
      <c r="BU85" s="7">
        <f t="shared" si="122"/>
        <v>0</v>
      </c>
      <c r="BV85" s="33">
        <v>0</v>
      </c>
      <c r="BW85" s="7">
        <f t="shared" si="123"/>
        <v>0</v>
      </c>
      <c r="BX85" s="7">
        <f t="shared" si="124"/>
        <v>0</v>
      </c>
      <c r="BY85" s="7"/>
      <c r="BZ85" s="7">
        <f t="shared" si="125"/>
        <v>40000000</v>
      </c>
      <c r="CA85" s="7">
        <f t="shared" si="126"/>
        <v>40000000</v>
      </c>
      <c r="CB85" s="15">
        <f t="shared" si="127"/>
        <v>0</v>
      </c>
      <c r="CC85" s="15">
        <f t="shared" si="128"/>
        <v>0</v>
      </c>
      <c r="CD85" s="489" t="s">
        <v>738</v>
      </c>
      <c r="CE85" s="7">
        <v>40000000</v>
      </c>
      <c r="CF85" s="33">
        <v>40000000</v>
      </c>
      <c r="CG85" s="33"/>
      <c r="CH85" s="33"/>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14"/>
      <c r="DO85" s="14"/>
      <c r="DP85" s="7"/>
      <c r="DQ85" s="7"/>
      <c r="DR85" s="7"/>
      <c r="DS85" s="15"/>
      <c r="DT85" s="15"/>
      <c r="DU85" s="15"/>
      <c r="DV85" s="15"/>
      <c r="DW85" s="7"/>
      <c r="DX85" s="27"/>
      <c r="DY85" s="329"/>
    </row>
    <row r="86" spans="1:129" s="10" customFormat="1" ht="60.75">
      <c r="A86" s="10" t="s">
        <v>82</v>
      </c>
      <c r="B86" s="24" t="s">
        <v>63</v>
      </c>
      <c r="C86" s="10" t="s">
        <v>234</v>
      </c>
      <c r="D86" s="24"/>
      <c r="E86" s="26">
        <v>535025</v>
      </c>
      <c r="F86" s="407">
        <v>4</v>
      </c>
      <c r="G86" s="407">
        <v>56</v>
      </c>
      <c r="H86" s="407">
        <v>1533</v>
      </c>
      <c r="I86" s="9" t="s">
        <v>14</v>
      </c>
      <c r="J86" s="10" t="s">
        <v>14</v>
      </c>
      <c r="K86" s="3">
        <v>4</v>
      </c>
      <c r="L86" s="3">
        <v>56</v>
      </c>
      <c r="M86" s="45"/>
      <c r="N86" s="3" t="s">
        <v>186</v>
      </c>
      <c r="O86" s="3" t="s">
        <v>186</v>
      </c>
      <c r="P86" s="3" t="s">
        <v>187</v>
      </c>
      <c r="Q86" s="3" t="s">
        <v>187</v>
      </c>
      <c r="R86" s="11" t="s">
        <v>197</v>
      </c>
      <c r="S86" s="3" t="s">
        <v>188</v>
      </c>
      <c r="T86" s="12" t="s">
        <v>21</v>
      </c>
      <c r="U86" s="12" t="s">
        <v>222</v>
      </c>
      <c r="V86" s="12"/>
      <c r="W86" s="12" t="s">
        <v>14</v>
      </c>
      <c r="X86" s="8" t="s">
        <v>51</v>
      </c>
      <c r="Y86" s="25" t="s">
        <v>69</v>
      </c>
      <c r="Z86" s="401" t="s">
        <v>148</v>
      </c>
      <c r="AA86" s="258" t="s">
        <v>446</v>
      </c>
      <c r="AB86" s="12" t="s">
        <v>16</v>
      </c>
      <c r="AC86" s="320">
        <f>26329000-14295000-10705000</f>
        <v>1329000</v>
      </c>
      <c r="AD86" s="320"/>
      <c r="AE86" s="7">
        <f>AC86+AD86</f>
        <v>1329000</v>
      </c>
      <c r="AF86" s="7">
        <v>-1329000</v>
      </c>
      <c r="AG86" s="33">
        <v>0</v>
      </c>
      <c r="AH86" s="33"/>
      <c r="AI86" s="7">
        <f>+AG86+AH86</f>
        <v>0</v>
      </c>
      <c r="AJ86" s="472"/>
      <c r="AK86" s="27">
        <v>27000000</v>
      </c>
      <c r="AL86" s="36">
        <v>34346</v>
      </c>
      <c r="AM86" s="36">
        <v>0</v>
      </c>
      <c r="AN86" s="7">
        <f t="shared" si="111"/>
        <v>34346</v>
      </c>
      <c r="AO86" s="36"/>
      <c r="AP86" s="36"/>
      <c r="AQ86" s="7">
        <f t="shared" si="112"/>
        <v>0</v>
      </c>
      <c r="AR86" s="36"/>
      <c r="AS86" s="36"/>
      <c r="AT86" s="7">
        <f t="shared" si="113"/>
        <v>0</v>
      </c>
      <c r="AU86" s="7"/>
      <c r="AV86" s="7"/>
      <c r="AW86" s="7">
        <f t="shared" si="114"/>
        <v>0</v>
      </c>
      <c r="AX86" s="7"/>
      <c r="AY86" s="7"/>
      <c r="AZ86" s="7">
        <f t="shared" si="115"/>
        <v>0</v>
      </c>
      <c r="BA86" s="7"/>
      <c r="BB86" s="7"/>
      <c r="BC86" s="7">
        <f t="shared" si="116"/>
        <v>0</v>
      </c>
      <c r="BD86" s="7"/>
      <c r="BE86" s="7"/>
      <c r="BF86" s="7">
        <f t="shared" si="117"/>
        <v>0</v>
      </c>
      <c r="BG86" s="7"/>
      <c r="BH86" s="7"/>
      <c r="BI86" s="7">
        <f t="shared" si="118"/>
        <v>0</v>
      </c>
      <c r="BJ86" s="7"/>
      <c r="BK86" s="7"/>
      <c r="BL86" s="7">
        <f t="shared" si="119"/>
        <v>0</v>
      </c>
      <c r="BM86" s="7"/>
      <c r="BN86" s="7"/>
      <c r="BO86" s="7">
        <f t="shared" si="120"/>
        <v>0</v>
      </c>
      <c r="BP86" s="7"/>
      <c r="BQ86" s="7"/>
      <c r="BR86" s="7">
        <f t="shared" si="121"/>
        <v>0</v>
      </c>
      <c r="BS86" s="7"/>
      <c r="BT86" s="7"/>
      <c r="BU86" s="7">
        <f t="shared" si="122"/>
        <v>0</v>
      </c>
      <c r="BV86" s="33">
        <v>0</v>
      </c>
      <c r="BW86" s="7">
        <f t="shared" si="123"/>
        <v>34346</v>
      </c>
      <c r="BX86" s="7">
        <f t="shared" si="124"/>
        <v>34346</v>
      </c>
      <c r="BY86" s="7"/>
      <c r="BZ86" s="7">
        <f t="shared" si="125"/>
        <v>26965654</v>
      </c>
      <c r="CA86" s="7">
        <f t="shared" si="126"/>
        <v>26965654</v>
      </c>
      <c r="CB86" s="15">
        <f t="shared" si="127"/>
        <v>1.2720740740740741E-3</v>
      </c>
      <c r="CC86" s="15">
        <f t="shared" si="128"/>
        <v>1.2720740740740741E-3</v>
      </c>
      <c r="CD86" s="489" t="s">
        <v>739</v>
      </c>
      <c r="CE86" s="320">
        <v>27000000</v>
      </c>
      <c r="CF86" s="33">
        <v>12000000</v>
      </c>
      <c r="CG86" s="33"/>
      <c r="CH86" s="33"/>
      <c r="CI86" s="320"/>
      <c r="CJ86" s="7">
        <f>CI86</f>
        <v>0</v>
      </c>
      <c r="CK86" s="320"/>
      <c r="CL86" s="7">
        <f>CK86</f>
        <v>0</v>
      </c>
      <c r="CM86" s="320"/>
      <c r="CN86" s="112"/>
      <c r="CO86" s="7">
        <f t="shared" si="133"/>
        <v>0</v>
      </c>
      <c r="CP86" s="7">
        <f>CI86+CK86+CM86</f>
        <v>0</v>
      </c>
      <c r="CQ86" s="7">
        <f>CJ86+CL86+CO86</f>
        <v>0</v>
      </c>
      <c r="CR86" s="320"/>
      <c r="CS86" s="320"/>
      <c r="CT86" s="7">
        <f t="shared" si="142"/>
        <v>0</v>
      </c>
      <c r="CU86" s="320"/>
      <c r="CV86" s="320"/>
      <c r="CW86" s="7">
        <f>CU86+CV86</f>
        <v>0</v>
      </c>
      <c r="CX86" s="320"/>
      <c r="CY86" s="320"/>
      <c r="CZ86" s="7"/>
      <c r="DA86" s="320"/>
      <c r="DB86" s="7">
        <f>DA86</f>
        <v>0</v>
      </c>
      <c r="DC86" s="320"/>
      <c r="DD86" s="7">
        <f>DC86</f>
        <v>0</v>
      </c>
      <c r="DE86" s="320"/>
      <c r="DF86" s="7">
        <f>DE86</f>
        <v>0</v>
      </c>
      <c r="DG86" s="320"/>
      <c r="DH86" s="7">
        <f>DG86</f>
        <v>0</v>
      </c>
      <c r="DI86" s="320"/>
      <c r="DJ86" s="7">
        <f>DI86</f>
        <v>0</v>
      </c>
      <c r="DK86" s="320"/>
      <c r="DL86" s="7">
        <f>DK86</f>
        <v>0</v>
      </c>
      <c r="DM86" s="320"/>
      <c r="DN86" s="14"/>
      <c r="DO86" s="14"/>
      <c r="DP86" s="7"/>
      <c r="DQ86" s="7"/>
      <c r="DR86" s="7"/>
      <c r="DS86" s="15"/>
      <c r="DT86" s="15"/>
      <c r="DU86" s="15"/>
      <c r="DV86" s="15"/>
      <c r="DW86" s="7"/>
      <c r="DX86" s="112"/>
      <c r="DY86" s="329"/>
    </row>
    <row r="87" spans="1:129" s="1" customFormat="1" ht="15.75" customHeight="1">
      <c r="A87" s="10" t="s">
        <v>82</v>
      </c>
      <c r="B87" s="24" t="s">
        <v>63</v>
      </c>
      <c r="C87" s="10" t="s">
        <v>234</v>
      </c>
      <c r="D87" s="24" t="s">
        <v>14</v>
      </c>
      <c r="E87" s="26">
        <v>535025</v>
      </c>
      <c r="F87" s="407">
        <v>4</v>
      </c>
      <c r="G87" s="407">
        <v>36</v>
      </c>
      <c r="H87" s="407">
        <v>1529</v>
      </c>
      <c r="I87" s="9" t="s">
        <v>14</v>
      </c>
      <c r="J87" s="10" t="s">
        <v>14</v>
      </c>
      <c r="K87" s="3">
        <v>4</v>
      </c>
      <c r="L87" s="3">
        <v>36</v>
      </c>
      <c r="M87" s="45"/>
      <c r="N87" s="3" t="s">
        <v>186</v>
      </c>
      <c r="O87" s="3" t="s">
        <v>186</v>
      </c>
      <c r="P87" s="3" t="s">
        <v>187</v>
      </c>
      <c r="Q87" s="3" t="s">
        <v>187</v>
      </c>
      <c r="R87" s="11" t="s">
        <v>197</v>
      </c>
      <c r="S87" s="3" t="s">
        <v>188</v>
      </c>
      <c r="T87" s="12" t="s">
        <v>21</v>
      </c>
      <c r="U87" s="12" t="s">
        <v>222</v>
      </c>
      <c r="V87" s="12"/>
      <c r="W87" s="12" t="s">
        <v>14</v>
      </c>
      <c r="X87" s="8" t="s">
        <v>51</v>
      </c>
      <c r="Y87" s="25" t="s">
        <v>69</v>
      </c>
      <c r="Z87" s="401" t="s">
        <v>93</v>
      </c>
      <c r="AA87" s="258" t="s">
        <v>509</v>
      </c>
      <c r="AB87" s="110" t="s">
        <v>37</v>
      </c>
      <c r="AC87" s="7">
        <f>2000000-400000</f>
        <v>1600000</v>
      </c>
      <c r="AD87" s="7"/>
      <c r="AE87" s="7">
        <f>AC87+AD87</f>
        <v>1600000</v>
      </c>
      <c r="AF87" s="7"/>
      <c r="AG87" s="33">
        <f>AE87+AF87</f>
        <v>1600000</v>
      </c>
      <c r="AH87" s="33"/>
      <c r="AI87" s="7">
        <f>+AG87+AH87</f>
        <v>1600000</v>
      </c>
      <c r="AJ87" s="472"/>
      <c r="AK87" s="7">
        <v>5000000</v>
      </c>
      <c r="AL87" s="33">
        <v>0</v>
      </c>
      <c r="AM87" s="33">
        <v>0</v>
      </c>
      <c r="AN87" s="7">
        <f t="shared" si="111"/>
        <v>0</v>
      </c>
      <c r="AO87" s="33"/>
      <c r="AP87" s="33"/>
      <c r="AQ87" s="7">
        <f t="shared" si="112"/>
        <v>0</v>
      </c>
      <c r="AR87" s="33"/>
      <c r="AS87" s="33"/>
      <c r="AT87" s="7">
        <f t="shared" si="113"/>
        <v>0</v>
      </c>
      <c r="AU87" s="7"/>
      <c r="AV87" s="7"/>
      <c r="AW87" s="7">
        <f t="shared" si="114"/>
        <v>0</v>
      </c>
      <c r="AX87" s="7"/>
      <c r="AY87" s="7"/>
      <c r="AZ87" s="7">
        <f t="shared" si="115"/>
        <v>0</v>
      </c>
      <c r="BA87" s="7"/>
      <c r="BB87" s="7"/>
      <c r="BC87" s="7">
        <f t="shared" si="116"/>
        <v>0</v>
      </c>
      <c r="BD87" s="7"/>
      <c r="BE87" s="7"/>
      <c r="BF87" s="7">
        <f t="shared" si="117"/>
        <v>0</v>
      </c>
      <c r="BG87" s="7"/>
      <c r="BH87" s="7"/>
      <c r="BI87" s="7">
        <f t="shared" si="118"/>
        <v>0</v>
      </c>
      <c r="BJ87" s="7"/>
      <c r="BK87" s="7"/>
      <c r="BL87" s="7">
        <f t="shared" si="119"/>
        <v>0</v>
      </c>
      <c r="BM87" s="7"/>
      <c r="BN87" s="7"/>
      <c r="BO87" s="7">
        <f t="shared" si="120"/>
        <v>0</v>
      </c>
      <c r="BP87" s="7"/>
      <c r="BQ87" s="7"/>
      <c r="BR87" s="7">
        <f t="shared" si="121"/>
        <v>0</v>
      </c>
      <c r="BS87" s="7"/>
      <c r="BT87" s="7"/>
      <c r="BU87" s="7">
        <f t="shared" si="122"/>
        <v>0</v>
      </c>
      <c r="BV87" s="7">
        <v>0</v>
      </c>
      <c r="BW87" s="7">
        <f t="shared" si="123"/>
        <v>0</v>
      </c>
      <c r="BX87" s="7">
        <f t="shared" si="124"/>
        <v>0</v>
      </c>
      <c r="BY87" s="7"/>
      <c r="BZ87" s="7">
        <f t="shared" si="125"/>
        <v>5000000</v>
      </c>
      <c r="CA87" s="7">
        <f t="shared" si="126"/>
        <v>5000000</v>
      </c>
      <c r="CB87" s="15">
        <f t="shared" si="127"/>
        <v>0</v>
      </c>
      <c r="CC87" s="15">
        <f t="shared" si="128"/>
        <v>0</v>
      </c>
      <c r="CD87" s="489" t="s">
        <v>740</v>
      </c>
      <c r="CE87" s="7">
        <v>5000000</v>
      </c>
      <c r="CF87" s="7">
        <v>5000000</v>
      </c>
      <c r="CG87" s="7"/>
      <c r="CH87" s="7"/>
      <c r="CI87" s="7"/>
      <c r="CJ87" s="7">
        <f>CI87</f>
        <v>0</v>
      </c>
      <c r="CK87" s="7"/>
      <c r="CL87" s="7">
        <f>CK87</f>
        <v>0</v>
      </c>
      <c r="CM87" s="7"/>
      <c r="CN87" s="7">
        <v>0</v>
      </c>
      <c r="CO87" s="7">
        <f>CM87+CN87</f>
        <v>0</v>
      </c>
      <c r="CP87" s="7">
        <f>CI87+CK87+CM87</f>
        <v>0</v>
      </c>
      <c r="CQ87" s="7">
        <f>CJ87+CL87+CO87</f>
        <v>0</v>
      </c>
      <c r="CR87" s="7"/>
      <c r="CS87" s="7"/>
      <c r="CT87" s="7">
        <f t="shared" si="142"/>
        <v>0</v>
      </c>
      <c r="CU87" s="7"/>
      <c r="CV87" s="7"/>
      <c r="CW87" s="7">
        <f>CU87+CV87</f>
        <v>0</v>
      </c>
      <c r="CX87" s="7"/>
      <c r="CY87" s="7"/>
      <c r="CZ87" s="7">
        <f>CX87+CY87</f>
        <v>0</v>
      </c>
      <c r="DA87" s="7"/>
      <c r="DB87" s="7">
        <f>DA87</f>
        <v>0</v>
      </c>
      <c r="DC87" s="7"/>
      <c r="DD87" s="7">
        <f>DC87</f>
        <v>0</v>
      </c>
      <c r="DE87" s="7"/>
      <c r="DF87" s="7">
        <f>DE87</f>
        <v>0</v>
      </c>
      <c r="DG87" s="7"/>
      <c r="DH87" s="7">
        <f>DG87</f>
        <v>0</v>
      </c>
      <c r="DI87" s="7"/>
      <c r="DJ87" s="7">
        <f>DI87</f>
        <v>0</v>
      </c>
      <c r="DK87" s="7"/>
      <c r="DL87" s="7">
        <f>DK87</f>
        <v>0</v>
      </c>
      <c r="DM87" s="7"/>
      <c r="DN87" s="14">
        <f>CI87+CK87+CM87+CR87+CU87+CX87+DA87+DC87+DE87+DG87+DI87+DK87</f>
        <v>0</v>
      </c>
      <c r="DO87" s="14">
        <f>CJ87+CL87+CO87+CT87+CW87+CZ87</f>
        <v>0</v>
      </c>
      <c r="DP87" s="7"/>
      <c r="DQ87" s="7">
        <f>AG87-DN87</f>
        <v>1600000</v>
      </c>
      <c r="DR87" s="7">
        <f>AG87-DO87</f>
        <v>1600000</v>
      </c>
      <c r="DS87" s="15">
        <f>DN87/AG87</f>
        <v>0</v>
      </c>
      <c r="DT87" s="15">
        <f>DO87/AG87</f>
        <v>0</v>
      </c>
      <c r="DU87" s="7">
        <v>5000000</v>
      </c>
      <c r="DV87" s="7"/>
      <c r="DW87" s="7"/>
      <c r="DX87" s="27"/>
      <c r="DY87" s="109"/>
    </row>
    <row r="88" spans="1:129" s="1" customFormat="1" ht="18.75" customHeight="1">
      <c r="A88" s="10" t="s">
        <v>82</v>
      </c>
      <c r="B88" s="24" t="s">
        <v>63</v>
      </c>
      <c r="C88" s="10" t="s">
        <v>234</v>
      </c>
      <c r="D88" s="113" t="s">
        <v>14</v>
      </c>
      <c r="E88" s="26">
        <v>535025</v>
      </c>
      <c r="F88" s="407">
        <v>4</v>
      </c>
      <c r="G88" s="407">
        <v>36</v>
      </c>
      <c r="H88" s="407">
        <v>1530</v>
      </c>
      <c r="I88" s="9" t="s">
        <v>14</v>
      </c>
      <c r="J88" s="10" t="s">
        <v>14</v>
      </c>
      <c r="K88" s="3">
        <v>4</v>
      </c>
      <c r="L88" s="3">
        <v>36</v>
      </c>
      <c r="M88" s="45"/>
      <c r="N88" s="3" t="s">
        <v>186</v>
      </c>
      <c r="O88" s="3" t="s">
        <v>186</v>
      </c>
      <c r="P88" s="3" t="s">
        <v>187</v>
      </c>
      <c r="Q88" s="3" t="s">
        <v>187</v>
      </c>
      <c r="R88" s="11" t="s">
        <v>197</v>
      </c>
      <c r="S88" s="3" t="s">
        <v>188</v>
      </c>
      <c r="T88" s="12" t="s">
        <v>21</v>
      </c>
      <c r="U88" s="12" t="s">
        <v>222</v>
      </c>
      <c r="V88" s="12"/>
      <c r="W88" s="12" t="s">
        <v>14</v>
      </c>
      <c r="X88" s="8" t="s">
        <v>51</v>
      </c>
      <c r="Y88" s="25" t="s">
        <v>69</v>
      </c>
      <c r="Z88" s="401" t="s">
        <v>149</v>
      </c>
      <c r="AA88" s="10" t="s">
        <v>119</v>
      </c>
      <c r="AB88" s="110" t="s">
        <v>37</v>
      </c>
      <c r="AC88" s="7">
        <v>10000000</v>
      </c>
      <c r="AD88" s="7"/>
      <c r="AE88" s="7">
        <f>AC88+AD88</f>
        <v>10000000</v>
      </c>
      <c r="AF88" s="7"/>
      <c r="AG88" s="33">
        <f>AE88+AF88</f>
        <v>10000000</v>
      </c>
      <c r="AH88" s="33"/>
      <c r="AI88" s="7">
        <f>+AG88+AH88</f>
        <v>10000000</v>
      </c>
      <c r="AJ88" s="472"/>
      <c r="AK88" s="7">
        <v>10000000</v>
      </c>
      <c r="AL88" s="33">
        <v>0</v>
      </c>
      <c r="AM88" s="33">
        <v>0</v>
      </c>
      <c r="AN88" s="7">
        <f t="shared" si="111"/>
        <v>0</v>
      </c>
      <c r="AO88" s="33"/>
      <c r="AP88" s="33"/>
      <c r="AQ88" s="7">
        <f t="shared" si="112"/>
        <v>0</v>
      </c>
      <c r="AR88" s="33"/>
      <c r="AS88" s="33"/>
      <c r="AT88" s="7">
        <f t="shared" si="113"/>
        <v>0</v>
      </c>
      <c r="AU88" s="7"/>
      <c r="AV88" s="7"/>
      <c r="AW88" s="7">
        <f t="shared" si="114"/>
        <v>0</v>
      </c>
      <c r="AX88" s="7"/>
      <c r="AY88" s="7"/>
      <c r="AZ88" s="7">
        <f t="shared" si="115"/>
        <v>0</v>
      </c>
      <c r="BA88" s="7"/>
      <c r="BB88" s="7"/>
      <c r="BC88" s="7">
        <f t="shared" si="116"/>
        <v>0</v>
      </c>
      <c r="BD88" s="7"/>
      <c r="BE88" s="7"/>
      <c r="BF88" s="7">
        <f t="shared" si="117"/>
        <v>0</v>
      </c>
      <c r="BG88" s="7"/>
      <c r="BH88" s="7"/>
      <c r="BI88" s="7">
        <f t="shared" si="118"/>
        <v>0</v>
      </c>
      <c r="BJ88" s="7"/>
      <c r="BK88" s="7"/>
      <c r="BL88" s="7">
        <f t="shared" si="119"/>
        <v>0</v>
      </c>
      <c r="BM88" s="7"/>
      <c r="BN88" s="7"/>
      <c r="BO88" s="7">
        <f t="shared" si="120"/>
        <v>0</v>
      </c>
      <c r="BP88" s="7"/>
      <c r="BQ88" s="7"/>
      <c r="BR88" s="7">
        <f t="shared" si="121"/>
        <v>0</v>
      </c>
      <c r="BS88" s="7"/>
      <c r="BT88" s="7"/>
      <c r="BU88" s="7">
        <f t="shared" si="122"/>
        <v>0</v>
      </c>
      <c r="BV88" s="7">
        <v>0</v>
      </c>
      <c r="BW88" s="7">
        <f t="shared" si="123"/>
        <v>0</v>
      </c>
      <c r="BX88" s="7">
        <f t="shared" si="124"/>
        <v>0</v>
      </c>
      <c r="BY88" s="7"/>
      <c r="BZ88" s="7">
        <f t="shared" si="125"/>
        <v>10000000</v>
      </c>
      <c r="CA88" s="7">
        <f t="shared" si="126"/>
        <v>10000000</v>
      </c>
      <c r="CB88" s="15">
        <f t="shared" si="127"/>
        <v>0</v>
      </c>
      <c r="CC88" s="15">
        <f t="shared" si="128"/>
        <v>0</v>
      </c>
      <c r="CD88" s="489" t="s">
        <v>741</v>
      </c>
      <c r="CE88" s="7">
        <f>15000000</f>
        <v>15000000</v>
      </c>
      <c r="CF88" s="33">
        <v>20000000</v>
      </c>
      <c r="CG88" s="33"/>
      <c r="CH88" s="33"/>
      <c r="CI88" s="7"/>
      <c r="CJ88" s="7">
        <f>CI88</f>
        <v>0</v>
      </c>
      <c r="CK88" s="7">
        <v>799580.21</v>
      </c>
      <c r="CL88" s="7">
        <f>CK88+111941.25</f>
        <v>911521.46</v>
      </c>
      <c r="CM88" s="7"/>
      <c r="CN88" s="7"/>
      <c r="CO88" s="7">
        <f>CM88+CN88</f>
        <v>0</v>
      </c>
      <c r="CP88" s="7">
        <f>CI88+CK88+CM88</f>
        <v>799580.21</v>
      </c>
      <c r="CQ88" s="7">
        <f>CJ88+CL88+CO88</f>
        <v>911521.46</v>
      </c>
      <c r="CR88" s="7">
        <v>4082.92</v>
      </c>
      <c r="CS88" s="7">
        <v>571.61</v>
      </c>
      <c r="CT88" s="7">
        <f t="shared" si="142"/>
        <v>4654.53</v>
      </c>
      <c r="CU88" s="7"/>
      <c r="CV88" s="7"/>
      <c r="CW88" s="7">
        <f>CU88+CV88</f>
        <v>0</v>
      </c>
      <c r="CX88" s="7"/>
      <c r="CY88" s="7"/>
      <c r="CZ88" s="7">
        <f>CX88+CY88</f>
        <v>0</v>
      </c>
      <c r="DA88" s="7"/>
      <c r="DB88" s="7">
        <f>DA88</f>
        <v>0</v>
      </c>
      <c r="DC88" s="7"/>
      <c r="DD88" s="7">
        <f>DC88</f>
        <v>0</v>
      </c>
      <c r="DE88" s="7"/>
      <c r="DF88" s="7">
        <f>DE88</f>
        <v>0</v>
      </c>
      <c r="DG88" s="7"/>
      <c r="DH88" s="7">
        <f>DG88</f>
        <v>0</v>
      </c>
      <c r="DI88" s="7"/>
      <c r="DJ88" s="7">
        <f>DI88</f>
        <v>0</v>
      </c>
      <c r="DK88" s="7"/>
      <c r="DL88" s="7">
        <f>DK88</f>
        <v>0</v>
      </c>
      <c r="DM88" s="7"/>
      <c r="DN88" s="14">
        <f>CI88+CK88+CM88+CR88+CU88+CX88+DA88+DC88+DE88+DG88+DI88+DK88</f>
        <v>803663.13</v>
      </c>
      <c r="DO88" s="14">
        <f>CJ88+CL88+CO88+CT88+CW88+CZ88</f>
        <v>916175.99</v>
      </c>
      <c r="DP88" s="7"/>
      <c r="DQ88" s="7">
        <f>AG88-DN88</f>
        <v>9196336.8699999992</v>
      </c>
      <c r="DR88" s="7">
        <f>AG88-DO88</f>
        <v>9083824.0099999998</v>
      </c>
      <c r="DS88" s="15">
        <f>DN88/AG88</f>
        <v>8.0366312999999995E-2</v>
      </c>
      <c r="DT88" s="15">
        <f>DO88/AG88</f>
        <v>9.1617598999999994E-2</v>
      </c>
      <c r="DU88" s="7">
        <v>25000000</v>
      </c>
      <c r="DV88" s="7"/>
      <c r="DW88" s="7"/>
      <c r="DX88" s="27"/>
      <c r="DY88" s="109"/>
    </row>
    <row r="89" spans="1:129" s="1" customFormat="1" ht="31.5" customHeight="1">
      <c r="A89" s="10" t="s">
        <v>82</v>
      </c>
      <c r="B89" s="24" t="s">
        <v>63</v>
      </c>
      <c r="C89" s="10" t="s">
        <v>234</v>
      </c>
      <c r="D89" s="10" t="s">
        <v>14</v>
      </c>
      <c r="E89" s="26">
        <v>535025</v>
      </c>
      <c r="F89" s="407">
        <v>4</v>
      </c>
      <c r="G89" s="407">
        <v>36</v>
      </c>
      <c r="H89" s="407">
        <v>1531</v>
      </c>
      <c r="I89" s="9" t="s">
        <v>14</v>
      </c>
      <c r="J89" s="10" t="s">
        <v>14</v>
      </c>
      <c r="K89" s="3">
        <v>4</v>
      </c>
      <c r="L89" s="3">
        <v>36</v>
      </c>
      <c r="M89" s="45"/>
      <c r="N89" s="3" t="s">
        <v>186</v>
      </c>
      <c r="O89" s="3" t="s">
        <v>186</v>
      </c>
      <c r="P89" s="3" t="s">
        <v>187</v>
      </c>
      <c r="Q89" s="3" t="s">
        <v>187</v>
      </c>
      <c r="R89" s="11" t="s">
        <v>197</v>
      </c>
      <c r="S89" s="3" t="s">
        <v>188</v>
      </c>
      <c r="T89" s="12" t="s">
        <v>21</v>
      </c>
      <c r="U89" s="12" t="s">
        <v>222</v>
      </c>
      <c r="V89" s="12"/>
      <c r="W89" s="12" t="s">
        <v>14</v>
      </c>
      <c r="X89" s="8" t="s">
        <v>51</v>
      </c>
      <c r="Y89" s="25" t="s">
        <v>69</v>
      </c>
      <c r="Z89" s="401" t="s">
        <v>150</v>
      </c>
      <c r="AA89" s="393" t="s">
        <v>447</v>
      </c>
      <c r="AB89" s="110" t="s">
        <v>37</v>
      </c>
      <c r="AC89" s="7">
        <f>3000000-116300-30000-2000000</f>
        <v>853700</v>
      </c>
      <c r="AD89" s="7"/>
      <c r="AE89" s="7">
        <f>AC89+AD89</f>
        <v>853700</v>
      </c>
      <c r="AF89" s="7"/>
      <c r="AG89" s="33">
        <f>AE89+AF89</f>
        <v>853700</v>
      </c>
      <c r="AH89" s="33"/>
      <c r="AI89" s="7">
        <f>+AG89+AH89</f>
        <v>853700</v>
      </c>
      <c r="AJ89" s="472"/>
      <c r="AK89" s="7">
        <v>3500000</v>
      </c>
      <c r="AL89" s="33">
        <v>0</v>
      </c>
      <c r="AM89" s="33">
        <v>0</v>
      </c>
      <c r="AN89" s="7">
        <f t="shared" si="111"/>
        <v>0</v>
      </c>
      <c r="AO89" s="33"/>
      <c r="AP89" s="33"/>
      <c r="AQ89" s="7">
        <f t="shared" si="112"/>
        <v>0</v>
      </c>
      <c r="AR89" s="33"/>
      <c r="AS89" s="33"/>
      <c r="AT89" s="7">
        <f t="shared" si="113"/>
        <v>0</v>
      </c>
      <c r="AU89" s="7"/>
      <c r="AV89" s="7"/>
      <c r="AW89" s="7">
        <f t="shared" si="114"/>
        <v>0</v>
      </c>
      <c r="AX89" s="7"/>
      <c r="AY89" s="7"/>
      <c r="AZ89" s="7">
        <f t="shared" si="115"/>
        <v>0</v>
      </c>
      <c r="BA89" s="7"/>
      <c r="BB89" s="7"/>
      <c r="BC89" s="7">
        <f t="shared" si="116"/>
        <v>0</v>
      </c>
      <c r="BD89" s="7"/>
      <c r="BE89" s="7"/>
      <c r="BF89" s="7">
        <f t="shared" si="117"/>
        <v>0</v>
      </c>
      <c r="BG89" s="7"/>
      <c r="BH89" s="7"/>
      <c r="BI89" s="7">
        <f t="shared" si="118"/>
        <v>0</v>
      </c>
      <c r="BJ89" s="7"/>
      <c r="BK89" s="7"/>
      <c r="BL89" s="7">
        <f t="shared" si="119"/>
        <v>0</v>
      </c>
      <c r="BM89" s="7"/>
      <c r="BN89" s="7"/>
      <c r="BO89" s="7">
        <f t="shared" si="120"/>
        <v>0</v>
      </c>
      <c r="BP89" s="7"/>
      <c r="BQ89" s="7"/>
      <c r="BR89" s="7">
        <f t="shared" si="121"/>
        <v>0</v>
      </c>
      <c r="BS89" s="7"/>
      <c r="BT89" s="7"/>
      <c r="BU89" s="7">
        <f t="shared" si="122"/>
        <v>0</v>
      </c>
      <c r="BV89" s="7">
        <v>0</v>
      </c>
      <c r="BW89" s="7">
        <f t="shared" si="123"/>
        <v>0</v>
      </c>
      <c r="BX89" s="7">
        <f t="shared" si="124"/>
        <v>0</v>
      </c>
      <c r="BY89" s="7"/>
      <c r="BZ89" s="7">
        <f t="shared" si="125"/>
        <v>3500000</v>
      </c>
      <c r="CA89" s="7">
        <f t="shared" si="126"/>
        <v>3500000</v>
      </c>
      <c r="CB89" s="15">
        <f t="shared" si="127"/>
        <v>0</v>
      </c>
      <c r="CC89" s="15">
        <f t="shared" si="128"/>
        <v>0</v>
      </c>
      <c r="CD89" s="489" t="s">
        <v>742</v>
      </c>
      <c r="CE89" s="7">
        <v>3500000</v>
      </c>
      <c r="CF89" s="7">
        <v>3500000</v>
      </c>
      <c r="CG89" s="7"/>
      <c r="CH89" s="7"/>
      <c r="CI89" s="7"/>
      <c r="CJ89" s="7">
        <f>CI89</f>
        <v>0</v>
      </c>
      <c r="CK89" s="7"/>
      <c r="CL89" s="7">
        <f>CK89</f>
        <v>0</v>
      </c>
      <c r="CM89" s="7"/>
      <c r="CN89" s="7">
        <v>0</v>
      </c>
      <c r="CO89" s="7">
        <f>CM89+CN89</f>
        <v>0</v>
      </c>
      <c r="CP89" s="7">
        <f>CI89+CK89+CM89</f>
        <v>0</v>
      </c>
      <c r="CQ89" s="7">
        <f>CJ89+CL89+CO89</f>
        <v>0</v>
      </c>
      <c r="CR89" s="7"/>
      <c r="CS89" s="7"/>
      <c r="CT89" s="7">
        <f t="shared" si="142"/>
        <v>0</v>
      </c>
      <c r="CU89" s="7"/>
      <c r="CV89" s="7"/>
      <c r="CW89" s="7">
        <f>CU89+CV89</f>
        <v>0</v>
      </c>
      <c r="CX89" s="7"/>
      <c r="CY89" s="7"/>
      <c r="CZ89" s="7">
        <f>CX89+CY89</f>
        <v>0</v>
      </c>
      <c r="DA89" s="7"/>
      <c r="DB89" s="7">
        <f>DA89</f>
        <v>0</v>
      </c>
      <c r="DC89" s="7"/>
      <c r="DD89" s="7">
        <f>DC89</f>
        <v>0</v>
      </c>
      <c r="DE89" s="7"/>
      <c r="DF89" s="7">
        <f>DE89</f>
        <v>0</v>
      </c>
      <c r="DG89" s="7"/>
      <c r="DH89" s="7">
        <f>DG89</f>
        <v>0</v>
      </c>
      <c r="DI89" s="7"/>
      <c r="DJ89" s="7">
        <f>DI89</f>
        <v>0</v>
      </c>
      <c r="DK89" s="7"/>
      <c r="DL89" s="7">
        <f>DK89</f>
        <v>0</v>
      </c>
      <c r="DM89" s="7"/>
      <c r="DN89" s="14">
        <f>CI89+CK89+CM89+CR89+CU89+CX89+DA89+DC89+DE89+DG89+DI89+DK89</f>
        <v>0</v>
      </c>
      <c r="DO89" s="14">
        <f>CJ89+CL89+CO89+CT89+CW89+CZ89</f>
        <v>0</v>
      </c>
      <c r="DP89" s="7"/>
      <c r="DQ89" s="7">
        <f>AG89-DN89</f>
        <v>853700</v>
      </c>
      <c r="DR89" s="7">
        <f>AG89-DO89</f>
        <v>853700</v>
      </c>
      <c r="DS89" s="15">
        <f>DN89/AG89</f>
        <v>0</v>
      </c>
      <c r="DT89" s="15">
        <f>DO89/AG89</f>
        <v>0</v>
      </c>
      <c r="DU89" s="7">
        <v>3500000</v>
      </c>
      <c r="DV89" s="7"/>
      <c r="DW89" s="7"/>
      <c r="DX89" s="27"/>
      <c r="DY89" s="109"/>
    </row>
    <row r="90" spans="1:129" s="1" customFormat="1">
      <c r="A90" s="10" t="s">
        <v>82</v>
      </c>
      <c r="B90" s="24" t="s">
        <v>63</v>
      </c>
      <c r="C90" s="10" t="s">
        <v>234</v>
      </c>
      <c r="D90" s="10" t="s">
        <v>14</v>
      </c>
      <c r="E90" s="26">
        <v>535025</v>
      </c>
      <c r="F90" s="407">
        <v>4</v>
      </c>
      <c r="G90" s="407">
        <v>36</v>
      </c>
      <c r="H90" s="407">
        <v>1532</v>
      </c>
      <c r="I90" s="9" t="s">
        <v>14</v>
      </c>
      <c r="J90" s="10" t="s">
        <v>14</v>
      </c>
      <c r="K90" s="3">
        <v>4</v>
      </c>
      <c r="L90" s="3">
        <v>36</v>
      </c>
      <c r="M90" s="45"/>
      <c r="N90" s="3" t="s">
        <v>186</v>
      </c>
      <c r="O90" s="3" t="s">
        <v>186</v>
      </c>
      <c r="P90" s="3" t="s">
        <v>187</v>
      </c>
      <c r="Q90" s="3" t="s">
        <v>187</v>
      </c>
      <c r="R90" s="11" t="s">
        <v>197</v>
      </c>
      <c r="S90" s="3" t="s">
        <v>188</v>
      </c>
      <c r="T90" s="12" t="s">
        <v>518</v>
      </c>
      <c r="U90" s="12"/>
      <c r="V90" s="12" t="s">
        <v>222</v>
      </c>
      <c r="W90" s="12" t="s">
        <v>14</v>
      </c>
      <c r="X90" s="8" t="s">
        <v>51</v>
      </c>
      <c r="Y90" s="25" t="s">
        <v>69</v>
      </c>
      <c r="Z90" s="401" t="s">
        <v>150</v>
      </c>
      <c r="AA90" s="393" t="s">
        <v>524</v>
      </c>
      <c r="AB90" s="110" t="s">
        <v>37</v>
      </c>
      <c r="AC90" s="7"/>
      <c r="AD90" s="7"/>
      <c r="AE90" s="7"/>
      <c r="AF90" s="7"/>
      <c r="AG90" s="33"/>
      <c r="AH90" s="33"/>
      <c r="AI90" s="7"/>
      <c r="AJ90" s="472"/>
      <c r="AK90" s="27">
        <f>42500000-13301000-20000000</f>
        <v>9199000</v>
      </c>
      <c r="AL90" s="36">
        <v>0</v>
      </c>
      <c r="AM90" s="36">
        <v>0</v>
      </c>
      <c r="AN90" s="7">
        <f t="shared" si="111"/>
        <v>0</v>
      </c>
      <c r="AO90" s="36"/>
      <c r="AP90" s="36"/>
      <c r="AQ90" s="7">
        <f t="shared" si="112"/>
        <v>0</v>
      </c>
      <c r="AR90" s="36"/>
      <c r="AS90" s="36"/>
      <c r="AT90" s="7">
        <f t="shared" si="113"/>
        <v>0</v>
      </c>
      <c r="AU90" s="33"/>
      <c r="AV90" s="33"/>
      <c r="AW90" s="7">
        <f t="shared" si="114"/>
        <v>0</v>
      </c>
      <c r="AX90" s="33"/>
      <c r="AY90" s="33"/>
      <c r="AZ90" s="7">
        <f t="shared" si="115"/>
        <v>0</v>
      </c>
      <c r="BA90" s="33"/>
      <c r="BB90" s="33"/>
      <c r="BC90" s="7">
        <f t="shared" si="116"/>
        <v>0</v>
      </c>
      <c r="BD90" s="33"/>
      <c r="BE90" s="33"/>
      <c r="BF90" s="7">
        <f t="shared" si="117"/>
        <v>0</v>
      </c>
      <c r="BG90" s="33"/>
      <c r="BH90" s="33"/>
      <c r="BI90" s="7">
        <f t="shared" si="118"/>
        <v>0</v>
      </c>
      <c r="BJ90" s="33"/>
      <c r="BK90" s="33"/>
      <c r="BL90" s="7">
        <f t="shared" si="119"/>
        <v>0</v>
      </c>
      <c r="BM90" s="33"/>
      <c r="BN90" s="33"/>
      <c r="BO90" s="7">
        <f t="shared" si="120"/>
        <v>0</v>
      </c>
      <c r="BP90" s="33"/>
      <c r="BQ90" s="33"/>
      <c r="BR90" s="7">
        <f t="shared" si="121"/>
        <v>0</v>
      </c>
      <c r="BS90" s="33"/>
      <c r="BT90" s="33"/>
      <c r="BU90" s="7">
        <f t="shared" si="122"/>
        <v>0</v>
      </c>
      <c r="BV90" s="33">
        <v>0</v>
      </c>
      <c r="BW90" s="7">
        <f t="shared" si="123"/>
        <v>0</v>
      </c>
      <c r="BX90" s="7">
        <f t="shared" si="124"/>
        <v>0</v>
      </c>
      <c r="BY90" s="33"/>
      <c r="BZ90" s="7">
        <f t="shared" si="125"/>
        <v>9199000</v>
      </c>
      <c r="CA90" s="7">
        <f t="shared" si="126"/>
        <v>9199000</v>
      </c>
      <c r="CB90" s="15">
        <f t="shared" si="127"/>
        <v>0</v>
      </c>
      <c r="CC90" s="15">
        <f t="shared" si="128"/>
        <v>0</v>
      </c>
      <c r="CD90" s="490" t="s">
        <v>743</v>
      </c>
      <c r="CE90" s="33">
        <f>26000000-24000000</f>
        <v>2000000</v>
      </c>
      <c r="CF90" s="33">
        <f>26000000-8000000-10000000</f>
        <v>8000000</v>
      </c>
      <c r="CG90" s="33"/>
      <c r="CH90" s="33"/>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14"/>
      <c r="DO90" s="14"/>
      <c r="DP90" s="7"/>
      <c r="DQ90" s="7"/>
      <c r="DR90" s="7"/>
      <c r="DS90" s="15"/>
      <c r="DT90" s="15"/>
      <c r="DU90" s="15"/>
      <c r="DV90" s="15"/>
      <c r="DW90" s="7"/>
      <c r="DX90" s="27"/>
      <c r="DY90" s="109"/>
    </row>
    <row r="91" spans="1:129" s="1" customFormat="1">
      <c r="A91" s="10" t="s">
        <v>82</v>
      </c>
      <c r="B91" s="24" t="s">
        <v>256</v>
      </c>
      <c r="C91" s="10" t="s">
        <v>634</v>
      </c>
      <c r="D91" s="53" t="s">
        <v>35</v>
      </c>
      <c r="E91" s="3">
        <v>520005</v>
      </c>
      <c r="F91" s="406">
        <v>4</v>
      </c>
      <c r="G91" s="406">
        <v>75</v>
      </c>
      <c r="H91" s="406">
        <v>1501</v>
      </c>
      <c r="I91" s="9" t="s">
        <v>35</v>
      </c>
      <c r="J91" s="10" t="s">
        <v>35</v>
      </c>
      <c r="K91" s="3">
        <v>4</v>
      </c>
      <c r="L91" s="248"/>
      <c r="M91" s="45"/>
      <c r="N91" s="3" t="s">
        <v>186</v>
      </c>
      <c r="O91" s="3" t="s">
        <v>186</v>
      </c>
      <c r="P91" s="3" t="s">
        <v>187</v>
      </c>
      <c r="Q91" s="3" t="s">
        <v>187</v>
      </c>
      <c r="R91" s="11" t="s">
        <v>195</v>
      </c>
      <c r="S91" s="3" t="s">
        <v>188</v>
      </c>
      <c r="T91" s="12" t="s">
        <v>181</v>
      </c>
      <c r="U91" s="12"/>
      <c r="V91" s="12" t="s">
        <v>222</v>
      </c>
      <c r="W91" s="12" t="s">
        <v>24</v>
      </c>
      <c r="X91" s="8" t="s">
        <v>19</v>
      </c>
      <c r="Y91" s="25" t="s">
        <v>69</v>
      </c>
      <c r="Z91" s="25" t="s">
        <v>183</v>
      </c>
      <c r="AA91" s="393" t="s">
        <v>563</v>
      </c>
      <c r="AB91" s="110" t="s">
        <v>562</v>
      </c>
      <c r="AC91" s="7"/>
      <c r="AD91" s="7"/>
      <c r="AE91" s="7"/>
      <c r="AF91" s="7"/>
      <c r="AG91" s="33"/>
      <c r="AH91" s="33"/>
      <c r="AI91" s="7"/>
      <c r="AJ91" s="472"/>
      <c r="AK91" s="27">
        <v>188726</v>
      </c>
      <c r="AL91" s="36">
        <v>0</v>
      </c>
      <c r="AM91" s="36">
        <v>0</v>
      </c>
      <c r="AN91" s="7">
        <f t="shared" si="111"/>
        <v>0</v>
      </c>
      <c r="AO91" s="36"/>
      <c r="AP91" s="36"/>
      <c r="AQ91" s="7">
        <f t="shared" si="112"/>
        <v>0</v>
      </c>
      <c r="AR91" s="36"/>
      <c r="AS91" s="36"/>
      <c r="AT91" s="7">
        <f t="shared" si="113"/>
        <v>0</v>
      </c>
      <c r="AU91" s="33"/>
      <c r="AV91" s="33"/>
      <c r="AW91" s="7">
        <f t="shared" si="114"/>
        <v>0</v>
      </c>
      <c r="AX91" s="33"/>
      <c r="AY91" s="33"/>
      <c r="AZ91" s="7">
        <f t="shared" si="115"/>
        <v>0</v>
      </c>
      <c r="BA91" s="33"/>
      <c r="BB91" s="33"/>
      <c r="BC91" s="7">
        <f t="shared" si="116"/>
        <v>0</v>
      </c>
      <c r="BD91" s="33"/>
      <c r="BE91" s="33"/>
      <c r="BF91" s="7">
        <f t="shared" si="117"/>
        <v>0</v>
      </c>
      <c r="BG91" s="33"/>
      <c r="BH91" s="33"/>
      <c r="BI91" s="7">
        <f t="shared" si="118"/>
        <v>0</v>
      </c>
      <c r="BJ91" s="33"/>
      <c r="BK91" s="33"/>
      <c r="BL91" s="7">
        <f t="shared" si="119"/>
        <v>0</v>
      </c>
      <c r="BM91" s="33"/>
      <c r="BN91" s="33"/>
      <c r="BO91" s="7">
        <f t="shared" si="120"/>
        <v>0</v>
      </c>
      <c r="BP91" s="33"/>
      <c r="BQ91" s="33"/>
      <c r="BR91" s="7">
        <f t="shared" si="121"/>
        <v>0</v>
      </c>
      <c r="BS91" s="33"/>
      <c r="BT91" s="33"/>
      <c r="BU91" s="7">
        <f t="shared" si="122"/>
        <v>0</v>
      </c>
      <c r="BV91" s="33">
        <v>178611.95</v>
      </c>
      <c r="BW91" s="7">
        <f t="shared" si="123"/>
        <v>0</v>
      </c>
      <c r="BX91" s="7">
        <f t="shared" si="124"/>
        <v>0</v>
      </c>
      <c r="BY91" s="33"/>
      <c r="BZ91" s="7">
        <f t="shared" si="125"/>
        <v>188726</v>
      </c>
      <c r="CA91" s="7">
        <f t="shared" si="126"/>
        <v>188726</v>
      </c>
      <c r="CB91" s="15">
        <f t="shared" si="127"/>
        <v>0</v>
      </c>
      <c r="CC91" s="15">
        <f t="shared" si="128"/>
        <v>0</v>
      </c>
      <c r="CD91" s="490"/>
      <c r="CE91" s="33"/>
      <c r="CF91" s="33"/>
      <c r="CG91" s="33"/>
      <c r="CH91" s="33"/>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14"/>
      <c r="DO91" s="14"/>
      <c r="DP91" s="7"/>
      <c r="DQ91" s="7"/>
      <c r="DR91" s="7"/>
      <c r="DS91" s="15"/>
      <c r="DT91" s="15"/>
      <c r="DU91" s="15"/>
      <c r="DV91" s="15"/>
      <c r="DW91" s="7"/>
      <c r="DX91" s="27"/>
      <c r="DY91" s="109"/>
    </row>
    <row r="92" spans="1:129" s="10" customFormat="1" ht="16.5" customHeight="1" thickBot="1">
      <c r="A92" s="41"/>
      <c r="B92" s="29"/>
      <c r="C92" s="41"/>
      <c r="D92" s="29"/>
      <c r="E92" s="16"/>
      <c r="F92" s="408"/>
      <c r="G92" s="408"/>
      <c r="H92" s="408"/>
      <c r="I92" s="55"/>
      <c r="J92" s="56"/>
      <c r="K92" s="57"/>
      <c r="L92" s="57"/>
      <c r="M92" s="57"/>
      <c r="N92" s="57"/>
      <c r="O92" s="57"/>
      <c r="P92" s="57"/>
      <c r="Q92" s="57"/>
      <c r="R92" s="57"/>
      <c r="S92" s="57"/>
      <c r="T92" s="28"/>
      <c r="U92" s="28"/>
      <c r="V92" s="28"/>
      <c r="W92" s="18"/>
      <c r="X92" s="18"/>
      <c r="Y92" s="39"/>
      <c r="Z92" s="30"/>
      <c r="AA92" s="56" t="s">
        <v>86</v>
      </c>
      <c r="AB92" s="28"/>
      <c r="AC92" s="20">
        <f>SUM(AC72:AC89)</f>
        <v>136922400</v>
      </c>
      <c r="AD92" s="20">
        <f>SUM(AD72:AD89)</f>
        <v>0</v>
      </c>
      <c r="AE92" s="20">
        <f>SUM(AE72:AE89)</f>
        <v>102075331.88</v>
      </c>
      <c r="AF92" s="20">
        <f>SUM(AF72:AF89)</f>
        <v>20671000</v>
      </c>
      <c r="AG92" s="20">
        <f>SUM(AG71:AG89)</f>
        <v>122746331.88</v>
      </c>
      <c r="AH92" s="20">
        <f>SUM(AH71:AH89)</f>
        <v>32584305</v>
      </c>
      <c r="AI92" s="20">
        <f>SUM(AI71:AI89)</f>
        <v>155330636.88</v>
      </c>
      <c r="AJ92" s="470">
        <f>SUM(AJ71:AJ89)</f>
        <v>0</v>
      </c>
      <c r="AK92" s="20">
        <f>SUM(AK71:AK91)</f>
        <v>665695618</v>
      </c>
      <c r="AL92" s="476">
        <f t="shared" ref="AL92:CA92" si="143">SUM(AL71:AL91)</f>
        <v>-213299.06999999998</v>
      </c>
      <c r="AM92" s="20">
        <f t="shared" si="143"/>
        <v>0</v>
      </c>
      <c r="AN92" s="20">
        <f t="shared" si="143"/>
        <v>-213299.06999999998</v>
      </c>
      <c r="AO92" s="20">
        <f t="shared" si="143"/>
        <v>0</v>
      </c>
      <c r="AP92" s="20">
        <f t="shared" si="143"/>
        <v>0</v>
      </c>
      <c r="AQ92" s="20">
        <f t="shared" si="143"/>
        <v>0</v>
      </c>
      <c r="AR92" s="20">
        <f t="shared" si="143"/>
        <v>0</v>
      </c>
      <c r="AS92" s="20">
        <f t="shared" si="143"/>
        <v>0</v>
      </c>
      <c r="AT92" s="20">
        <f t="shared" si="143"/>
        <v>0</v>
      </c>
      <c r="AU92" s="20">
        <f t="shared" si="143"/>
        <v>0</v>
      </c>
      <c r="AV92" s="20">
        <f t="shared" si="143"/>
        <v>0</v>
      </c>
      <c r="AW92" s="20">
        <f t="shared" si="143"/>
        <v>0</v>
      </c>
      <c r="AX92" s="20">
        <f t="shared" si="143"/>
        <v>0</v>
      </c>
      <c r="AY92" s="20">
        <f t="shared" si="143"/>
        <v>0</v>
      </c>
      <c r="AZ92" s="20">
        <f t="shared" si="143"/>
        <v>0</v>
      </c>
      <c r="BA92" s="20">
        <f t="shared" si="143"/>
        <v>0</v>
      </c>
      <c r="BB92" s="20">
        <f t="shared" si="143"/>
        <v>0</v>
      </c>
      <c r="BC92" s="20">
        <f t="shared" si="143"/>
        <v>0</v>
      </c>
      <c r="BD92" s="20">
        <f t="shared" si="143"/>
        <v>0</v>
      </c>
      <c r="BE92" s="20">
        <f t="shared" si="143"/>
        <v>0</v>
      </c>
      <c r="BF92" s="20">
        <f t="shared" si="143"/>
        <v>0</v>
      </c>
      <c r="BG92" s="20">
        <f t="shared" si="143"/>
        <v>0</v>
      </c>
      <c r="BH92" s="20">
        <f t="shared" si="143"/>
        <v>0</v>
      </c>
      <c r="BI92" s="20">
        <f t="shared" si="143"/>
        <v>0</v>
      </c>
      <c r="BJ92" s="20">
        <f t="shared" si="143"/>
        <v>0</v>
      </c>
      <c r="BK92" s="20">
        <f t="shared" si="143"/>
        <v>0</v>
      </c>
      <c r="BL92" s="20">
        <f t="shared" si="143"/>
        <v>0</v>
      </c>
      <c r="BM92" s="20">
        <f t="shared" si="143"/>
        <v>0</v>
      </c>
      <c r="BN92" s="20">
        <f t="shared" si="143"/>
        <v>0</v>
      </c>
      <c r="BO92" s="20">
        <f t="shared" si="143"/>
        <v>0</v>
      </c>
      <c r="BP92" s="20">
        <f t="shared" si="143"/>
        <v>0</v>
      </c>
      <c r="BQ92" s="20">
        <f t="shared" si="143"/>
        <v>0</v>
      </c>
      <c r="BR92" s="20">
        <f t="shared" si="143"/>
        <v>0</v>
      </c>
      <c r="BS92" s="20">
        <f t="shared" si="143"/>
        <v>0</v>
      </c>
      <c r="BT92" s="20">
        <f t="shared" si="143"/>
        <v>0</v>
      </c>
      <c r="BU92" s="20">
        <f t="shared" si="143"/>
        <v>0</v>
      </c>
      <c r="BV92" s="20">
        <f t="shared" si="143"/>
        <v>690427.4</v>
      </c>
      <c r="BW92" s="20">
        <f t="shared" si="143"/>
        <v>-213299.06999999998</v>
      </c>
      <c r="BX92" s="20">
        <f t="shared" si="143"/>
        <v>-213299.06999999998</v>
      </c>
      <c r="BY92" s="20">
        <f t="shared" si="143"/>
        <v>0</v>
      </c>
      <c r="BZ92" s="20">
        <f t="shared" si="143"/>
        <v>665908917.06999993</v>
      </c>
      <c r="CA92" s="20">
        <f t="shared" si="143"/>
        <v>665908917.06999993</v>
      </c>
      <c r="CB92" s="21">
        <f t="shared" si="127"/>
        <v>-3.2041531329413077E-4</v>
      </c>
      <c r="CC92" s="21">
        <f t="shared" si="128"/>
        <v>-3.2041531329413077E-4</v>
      </c>
      <c r="CD92" s="489"/>
      <c r="CE92" s="20">
        <f>SUM(CE71:CE90)</f>
        <v>667000000</v>
      </c>
      <c r="CF92" s="20">
        <f>SUM(CF71:CF90)</f>
        <v>575000000</v>
      </c>
      <c r="CG92" s="20">
        <f>SUM(CG71:CG90)</f>
        <v>0</v>
      </c>
      <c r="CH92" s="20">
        <f>SUM(CH71:CH90)</f>
        <v>0</v>
      </c>
      <c r="CI92" s="20">
        <f t="shared" ref="CI92:DR92" si="144">SUM(CI72:CI89)</f>
        <v>0</v>
      </c>
      <c r="CJ92" s="20">
        <f t="shared" si="144"/>
        <v>0</v>
      </c>
      <c r="CK92" s="20">
        <f t="shared" si="144"/>
        <v>5827973.169999999</v>
      </c>
      <c r="CL92" s="20">
        <f t="shared" si="144"/>
        <v>6902063.2800000003</v>
      </c>
      <c r="CM92" s="20">
        <f t="shared" si="144"/>
        <v>13804116.130000001</v>
      </c>
      <c r="CN92" s="20">
        <f t="shared" si="144"/>
        <v>1784476.7400000002</v>
      </c>
      <c r="CO92" s="20">
        <f t="shared" si="144"/>
        <v>15588592.870000001</v>
      </c>
      <c r="CP92" s="20">
        <f t="shared" si="144"/>
        <v>19632089.299999997</v>
      </c>
      <c r="CQ92" s="20">
        <f t="shared" si="144"/>
        <v>22490656.150000002</v>
      </c>
      <c r="CR92" s="20">
        <f t="shared" si="144"/>
        <v>13528999.26</v>
      </c>
      <c r="CS92" s="20">
        <f t="shared" si="144"/>
        <v>2080645.33</v>
      </c>
      <c r="CT92" s="20">
        <f t="shared" si="144"/>
        <v>15609644.589999998</v>
      </c>
      <c r="CU92" s="20">
        <f t="shared" si="144"/>
        <v>14379875.139999999</v>
      </c>
      <c r="CV92" s="20">
        <f t="shared" si="144"/>
        <v>1913021.76</v>
      </c>
      <c r="CW92" s="20">
        <f t="shared" si="144"/>
        <v>16292896.899999999</v>
      </c>
      <c r="CX92" s="20">
        <f t="shared" si="144"/>
        <v>32034197.880000003</v>
      </c>
      <c r="CY92" s="20">
        <f t="shared" si="144"/>
        <v>1817267.5499999998</v>
      </c>
      <c r="CZ92" s="20">
        <f t="shared" si="144"/>
        <v>33851465.43</v>
      </c>
      <c r="DA92" s="20">
        <f t="shared" si="144"/>
        <v>0</v>
      </c>
      <c r="DB92" s="20">
        <f t="shared" si="144"/>
        <v>0</v>
      </c>
      <c r="DC92" s="20">
        <f t="shared" si="144"/>
        <v>0</v>
      </c>
      <c r="DD92" s="20">
        <f t="shared" si="144"/>
        <v>0</v>
      </c>
      <c r="DE92" s="20">
        <f t="shared" si="144"/>
        <v>0</v>
      </c>
      <c r="DF92" s="20">
        <f t="shared" si="144"/>
        <v>0</v>
      </c>
      <c r="DG92" s="20">
        <f t="shared" si="144"/>
        <v>0</v>
      </c>
      <c r="DH92" s="20">
        <f t="shared" si="144"/>
        <v>0</v>
      </c>
      <c r="DI92" s="20">
        <f t="shared" si="144"/>
        <v>0</v>
      </c>
      <c r="DJ92" s="20">
        <f t="shared" si="144"/>
        <v>0</v>
      </c>
      <c r="DK92" s="20">
        <f t="shared" si="144"/>
        <v>0</v>
      </c>
      <c r="DL92" s="20">
        <f t="shared" si="144"/>
        <v>0</v>
      </c>
      <c r="DM92" s="20">
        <f t="shared" si="144"/>
        <v>2038718.1</v>
      </c>
      <c r="DN92" s="20">
        <f t="shared" si="144"/>
        <v>79575161.579999998</v>
      </c>
      <c r="DO92" s="20">
        <f t="shared" si="144"/>
        <v>88244663.069999993</v>
      </c>
      <c r="DP92" s="20">
        <f t="shared" si="144"/>
        <v>625034.64</v>
      </c>
      <c r="DQ92" s="20">
        <f t="shared" si="144"/>
        <v>43171170.299999997</v>
      </c>
      <c r="DR92" s="20">
        <f t="shared" si="144"/>
        <v>34501668.810000002</v>
      </c>
      <c r="DS92" s="21">
        <f>DN92/AG92</f>
        <v>0.64828952817746721</v>
      </c>
      <c r="DT92" s="21">
        <f>DO92/AG92</f>
        <v>0.71891894216659991</v>
      </c>
      <c r="DU92" s="302"/>
      <c r="DV92" s="302"/>
      <c r="DW92" s="20">
        <f>SUM(DW71:DW89)</f>
        <v>0</v>
      </c>
      <c r="DX92" s="122"/>
      <c r="DY92" s="329"/>
    </row>
    <row r="93" spans="1:129" s="10" customFormat="1" ht="16.5" customHeight="1" thickTop="1">
      <c r="A93" s="24"/>
      <c r="B93" s="24"/>
      <c r="C93" s="24"/>
      <c r="D93" s="24"/>
      <c r="E93" s="3"/>
      <c r="F93" s="406"/>
      <c r="G93" s="406"/>
      <c r="H93" s="406"/>
      <c r="I93" s="46"/>
      <c r="J93" s="47"/>
      <c r="K93" s="45"/>
      <c r="L93" s="45"/>
      <c r="M93" s="45"/>
      <c r="N93" s="45"/>
      <c r="O93" s="45"/>
      <c r="P93" s="45"/>
      <c r="Q93" s="45"/>
      <c r="R93" s="45"/>
      <c r="S93" s="45"/>
      <c r="T93" s="12"/>
      <c r="U93" s="12"/>
      <c r="V93" s="12"/>
      <c r="W93" s="58"/>
      <c r="X93" s="48"/>
      <c r="Y93" s="49"/>
      <c r="Z93" s="400"/>
      <c r="AA93" s="393"/>
      <c r="AB93" s="51"/>
      <c r="AC93" s="59"/>
      <c r="AD93" s="60"/>
      <c r="AE93" s="7"/>
      <c r="AF93" s="62"/>
      <c r="AG93" s="62"/>
      <c r="AH93" s="62"/>
      <c r="AI93" s="62"/>
      <c r="AJ93" s="62"/>
      <c r="AK93" s="59"/>
      <c r="AL93" s="73"/>
      <c r="AM93" s="60"/>
      <c r="AN93" s="7"/>
      <c r="AO93" s="60"/>
      <c r="AP93" s="60"/>
      <c r="AQ93" s="7">
        <f t="shared" si="112"/>
        <v>0</v>
      </c>
      <c r="AR93" s="60"/>
      <c r="AS93" s="60"/>
      <c r="AT93" s="7">
        <f t="shared" si="113"/>
        <v>0</v>
      </c>
      <c r="AU93" s="7"/>
      <c r="AV93" s="7"/>
      <c r="AW93" s="7">
        <f t="shared" si="114"/>
        <v>0</v>
      </c>
      <c r="AX93" s="7"/>
      <c r="AY93" s="7"/>
      <c r="AZ93" s="7">
        <f t="shared" si="115"/>
        <v>0</v>
      </c>
      <c r="BA93" s="7"/>
      <c r="BB93" s="7"/>
      <c r="BC93" s="7">
        <f t="shared" si="116"/>
        <v>0</v>
      </c>
      <c r="BD93" s="7"/>
      <c r="BE93" s="7"/>
      <c r="BF93" s="7">
        <f t="shared" si="117"/>
        <v>0</v>
      </c>
      <c r="BG93" s="7"/>
      <c r="BH93" s="7"/>
      <c r="BI93" s="7">
        <f t="shared" si="118"/>
        <v>0</v>
      </c>
      <c r="BJ93" s="7"/>
      <c r="BK93" s="7"/>
      <c r="BL93" s="7">
        <f t="shared" si="119"/>
        <v>0</v>
      </c>
      <c r="BM93" s="7"/>
      <c r="BN93" s="7"/>
      <c r="BO93" s="7">
        <f t="shared" si="120"/>
        <v>0</v>
      </c>
      <c r="BP93" s="7"/>
      <c r="BQ93" s="7"/>
      <c r="BR93" s="7">
        <f t="shared" si="121"/>
        <v>0</v>
      </c>
      <c r="BS93" s="7"/>
      <c r="BT93" s="7"/>
      <c r="BU93" s="7">
        <f t="shared" si="122"/>
        <v>0</v>
      </c>
      <c r="BV93" s="7"/>
      <c r="BW93" s="7"/>
      <c r="BX93" s="7"/>
      <c r="BY93" s="7"/>
      <c r="BZ93" s="7"/>
      <c r="CA93" s="7"/>
      <c r="CB93" s="15"/>
      <c r="CC93" s="15"/>
      <c r="CD93" s="489"/>
      <c r="CE93" s="59"/>
      <c r="CF93" s="62"/>
      <c r="CG93" s="62"/>
      <c r="CH93" s="62"/>
      <c r="CI93" s="60"/>
      <c r="CJ93" s="7"/>
      <c r="CK93" s="60"/>
      <c r="CL93" s="7"/>
      <c r="CM93" s="60"/>
      <c r="CN93" s="60"/>
      <c r="CO93" s="7"/>
      <c r="CP93" s="7"/>
      <c r="CQ93" s="7"/>
      <c r="CR93" s="60"/>
      <c r="CS93" s="60"/>
      <c r="CT93" s="7"/>
      <c r="CU93" s="60"/>
      <c r="CV93" s="60"/>
      <c r="CW93" s="7"/>
      <c r="CX93" s="60"/>
      <c r="CY93" s="60"/>
      <c r="CZ93" s="7"/>
      <c r="DA93" s="60"/>
      <c r="DB93" s="7">
        <f>DA93</f>
        <v>0</v>
      </c>
      <c r="DC93" s="60"/>
      <c r="DD93" s="7">
        <f>DC93</f>
        <v>0</v>
      </c>
      <c r="DE93" s="60"/>
      <c r="DF93" s="7">
        <f>DE93</f>
        <v>0</v>
      </c>
      <c r="DG93" s="60"/>
      <c r="DH93" s="7">
        <f>DG93</f>
        <v>0</v>
      </c>
      <c r="DI93" s="60"/>
      <c r="DJ93" s="7">
        <f>DI93</f>
        <v>0</v>
      </c>
      <c r="DK93" s="60"/>
      <c r="DL93" s="7">
        <f>DK93</f>
        <v>0</v>
      </c>
      <c r="DM93" s="60"/>
      <c r="DN93" s="14"/>
      <c r="DO93" s="14"/>
      <c r="DP93" s="7"/>
      <c r="DQ93" s="7"/>
      <c r="DR93" s="7"/>
      <c r="DS93" s="15"/>
      <c r="DT93" s="15"/>
      <c r="DU93" s="303"/>
      <c r="DV93" s="303"/>
      <c r="DW93" s="62"/>
      <c r="DX93" s="60"/>
      <c r="DY93" s="329"/>
    </row>
    <row r="94" spans="1:129" s="10" customFormat="1">
      <c r="A94" s="44" t="s">
        <v>40</v>
      </c>
      <c r="B94" s="43"/>
      <c r="C94" s="44"/>
      <c r="D94" s="43"/>
      <c r="E94" s="3"/>
      <c r="F94" s="406"/>
      <c r="G94" s="406"/>
      <c r="H94" s="406"/>
      <c r="I94" s="46"/>
      <c r="J94" s="47"/>
      <c r="K94" s="45"/>
      <c r="L94" s="45"/>
      <c r="M94" s="45"/>
      <c r="N94" s="45"/>
      <c r="O94" s="45"/>
      <c r="P94" s="45"/>
      <c r="Q94" s="45"/>
      <c r="R94" s="45"/>
      <c r="S94" s="45"/>
      <c r="T94" s="12"/>
      <c r="U94" s="12"/>
      <c r="V94" s="12"/>
      <c r="W94" s="48"/>
      <c r="X94" s="48"/>
      <c r="Y94" s="49"/>
      <c r="Z94" s="400"/>
      <c r="AA94" s="394" t="s">
        <v>40</v>
      </c>
      <c r="AB94" s="51"/>
      <c r="AC94" s="59"/>
      <c r="AD94" s="60"/>
      <c r="AE94" s="7"/>
      <c r="AF94" s="62"/>
      <c r="AG94" s="62"/>
      <c r="AH94" s="62"/>
      <c r="AI94" s="62"/>
      <c r="AJ94" s="62"/>
      <c r="AK94" s="59"/>
      <c r="AL94" s="73"/>
      <c r="AM94" s="60"/>
      <c r="AN94" s="7"/>
      <c r="AO94" s="60"/>
      <c r="AP94" s="60"/>
      <c r="AQ94" s="7"/>
      <c r="AR94" s="60"/>
      <c r="AS94" s="60"/>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15"/>
      <c r="CC94" s="15"/>
      <c r="CD94" s="489"/>
      <c r="CE94" s="59"/>
      <c r="CF94" s="62"/>
      <c r="CG94" s="62"/>
      <c r="CH94" s="62"/>
      <c r="CI94" s="60"/>
      <c r="CJ94" s="7"/>
      <c r="CK94" s="60"/>
      <c r="CL94" s="7"/>
      <c r="CM94" s="60"/>
      <c r="CN94" s="60"/>
      <c r="CO94" s="7"/>
      <c r="CP94" s="7"/>
      <c r="CQ94" s="7"/>
      <c r="CR94" s="60"/>
      <c r="CS94" s="60"/>
      <c r="CT94" s="7"/>
      <c r="CU94" s="60"/>
      <c r="CV94" s="60"/>
      <c r="CW94" s="7"/>
      <c r="CX94" s="60"/>
      <c r="CY94" s="60"/>
      <c r="CZ94" s="7"/>
      <c r="DA94" s="60"/>
      <c r="DB94" s="7">
        <f>DA94</f>
        <v>0</v>
      </c>
      <c r="DC94" s="60"/>
      <c r="DD94" s="7">
        <f>DC94</f>
        <v>0</v>
      </c>
      <c r="DE94" s="60"/>
      <c r="DF94" s="7">
        <f>DE94</f>
        <v>0</v>
      </c>
      <c r="DG94" s="60"/>
      <c r="DH94" s="7">
        <f>DG94</f>
        <v>0</v>
      </c>
      <c r="DI94" s="60"/>
      <c r="DJ94" s="7">
        <f>DI94</f>
        <v>0</v>
      </c>
      <c r="DK94" s="60"/>
      <c r="DL94" s="7">
        <f>DK94</f>
        <v>0</v>
      </c>
      <c r="DM94" s="60"/>
      <c r="DN94" s="14"/>
      <c r="DO94" s="14"/>
      <c r="DP94" s="7"/>
      <c r="DQ94" s="7"/>
      <c r="DR94" s="7"/>
      <c r="DS94" s="15"/>
      <c r="DT94" s="15"/>
      <c r="DU94" s="303"/>
      <c r="DV94" s="303"/>
      <c r="DW94" s="62"/>
      <c r="DX94" s="60"/>
      <c r="DY94" s="329"/>
    </row>
    <row r="95" spans="1:129" s="10" customFormat="1" ht="30.75">
      <c r="A95" s="61" t="s">
        <v>9</v>
      </c>
      <c r="B95" s="24" t="s">
        <v>498</v>
      </c>
      <c r="C95" s="61" t="s">
        <v>651</v>
      </c>
      <c r="D95" s="24" t="s">
        <v>283</v>
      </c>
      <c r="E95" s="3">
        <v>605005</v>
      </c>
      <c r="F95" s="406">
        <v>4</v>
      </c>
      <c r="G95" s="412" t="s">
        <v>187</v>
      </c>
      <c r="H95" s="406">
        <v>1526</v>
      </c>
      <c r="I95" s="9" t="s">
        <v>42</v>
      </c>
      <c r="J95" s="10" t="s">
        <v>33</v>
      </c>
      <c r="K95" s="3">
        <v>4</v>
      </c>
      <c r="L95" s="11" t="s">
        <v>187</v>
      </c>
      <c r="M95" s="45"/>
      <c r="N95" s="11" t="s">
        <v>186</v>
      </c>
      <c r="O95" s="402" t="s">
        <v>191</v>
      </c>
      <c r="P95" s="3" t="s">
        <v>187</v>
      </c>
      <c r="Q95" s="3" t="s">
        <v>187</v>
      </c>
      <c r="R95" s="3">
        <v>270</v>
      </c>
      <c r="S95" s="3" t="s">
        <v>188</v>
      </c>
      <c r="T95" s="12" t="s">
        <v>26</v>
      </c>
      <c r="U95" s="12" t="s">
        <v>222</v>
      </c>
      <c r="V95" s="12"/>
      <c r="W95" s="48"/>
      <c r="X95" s="48"/>
      <c r="Y95" s="25" t="s">
        <v>69</v>
      </c>
      <c r="Z95" s="400" t="s">
        <v>92</v>
      </c>
      <c r="AA95" s="9" t="s">
        <v>293</v>
      </c>
      <c r="AB95" s="12" t="s">
        <v>8</v>
      </c>
      <c r="AC95" s="59"/>
      <c r="AD95" s="60"/>
      <c r="AE95" s="7"/>
      <c r="AF95" s="62"/>
      <c r="AG95" s="7">
        <f t="shared" ref="AG95:AG101" si="145">AE95+AF95</f>
        <v>0</v>
      </c>
      <c r="AH95" s="62"/>
      <c r="AI95" s="7">
        <f t="shared" ref="AI95:AI100" si="146">+AG95+AH95</f>
        <v>0</v>
      </c>
      <c r="AJ95" s="62"/>
      <c r="AK95" s="27">
        <v>500000</v>
      </c>
      <c r="AL95" s="329">
        <v>0</v>
      </c>
      <c r="AM95" s="386">
        <v>0</v>
      </c>
      <c r="AN95" s="7">
        <f t="shared" si="111"/>
        <v>0</v>
      </c>
      <c r="AO95" s="386"/>
      <c r="AP95" s="386"/>
      <c r="AQ95" s="7">
        <f t="shared" si="112"/>
        <v>0</v>
      </c>
      <c r="AR95" s="386"/>
      <c r="AS95" s="386"/>
      <c r="AT95" s="7">
        <f t="shared" si="113"/>
        <v>0</v>
      </c>
      <c r="AU95" s="7"/>
      <c r="AV95" s="7"/>
      <c r="AW95" s="7">
        <f t="shared" si="114"/>
        <v>0</v>
      </c>
      <c r="AX95" s="7"/>
      <c r="AY95" s="7"/>
      <c r="AZ95" s="7">
        <f t="shared" si="115"/>
        <v>0</v>
      </c>
      <c r="BA95" s="7"/>
      <c r="BB95" s="7"/>
      <c r="BC95" s="7">
        <f t="shared" si="116"/>
        <v>0</v>
      </c>
      <c r="BD95" s="7"/>
      <c r="BE95" s="7"/>
      <c r="BF95" s="7">
        <f t="shared" si="117"/>
        <v>0</v>
      </c>
      <c r="BG95" s="7"/>
      <c r="BH95" s="7"/>
      <c r="BI95" s="7">
        <f t="shared" si="118"/>
        <v>0</v>
      </c>
      <c r="BJ95" s="7"/>
      <c r="BK95" s="7"/>
      <c r="BL95" s="7">
        <f t="shared" si="119"/>
        <v>0</v>
      </c>
      <c r="BM95" s="7"/>
      <c r="BN95" s="7"/>
      <c r="BO95" s="7">
        <f t="shared" si="120"/>
        <v>0</v>
      </c>
      <c r="BP95" s="7"/>
      <c r="BQ95" s="7"/>
      <c r="BR95" s="7">
        <f t="shared" si="121"/>
        <v>0</v>
      </c>
      <c r="BS95" s="7"/>
      <c r="BT95" s="7"/>
      <c r="BU95" s="7">
        <f t="shared" si="122"/>
        <v>0</v>
      </c>
      <c r="BV95" s="7">
        <v>0</v>
      </c>
      <c r="BW95" s="7">
        <f t="shared" si="123"/>
        <v>0</v>
      </c>
      <c r="BX95" s="7">
        <f t="shared" si="124"/>
        <v>0</v>
      </c>
      <c r="BY95" s="7"/>
      <c r="BZ95" s="7">
        <f t="shared" si="125"/>
        <v>500000</v>
      </c>
      <c r="CA95" s="7">
        <f t="shared" si="126"/>
        <v>500000</v>
      </c>
      <c r="CB95" s="15">
        <f t="shared" si="127"/>
        <v>0</v>
      </c>
      <c r="CC95" s="15">
        <f t="shared" si="128"/>
        <v>0</v>
      </c>
      <c r="CD95" s="489" t="s">
        <v>762</v>
      </c>
      <c r="CE95" s="27">
        <v>500000</v>
      </c>
      <c r="CF95" s="62">
        <v>500000</v>
      </c>
      <c r="CG95" s="62"/>
      <c r="CH95" s="62"/>
      <c r="CI95" s="60"/>
      <c r="CJ95" s="7"/>
      <c r="CK95" s="60"/>
      <c r="CL95" s="7"/>
      <c r="CM95" s="60"/>
      <c r="CN95" s="60"/>
      <c r="CO95" s="7"/>
      <c r="CP95" s="7"/>
      <c r="CQ95" s="7"/>
      <c r="CR95" s="60"/>
      <c r="CS95" s="60"/>
      <c r="CT95" s="7"/>
      <c r="CU95" s="60"/>
      <c r="CV95" s="60"/>
      <c r="CW95" s="7"/>
      <c r="CX95" s="60"/>
      <c r="CY95" s="60"/>
      <c r="CZ95" s="7"/>
      <c r="DA95" s="60"/>
      <c r="DB95" s="7"/>
      <c r="DC95" s="60"/>
      <c r="DD95" s="7"/>
      <c r="DE95" s="60"/>
      <c r="DF95" s="7"/>
      <c r="DG95" s="60"/>
      <c r="DH95" s="7"/>
      <c r="DI95" s="60"/>
      <c r="DJ95" s="7"/>
      <c r="DK95" s="60"/>
      <c r="DL95" s="7"/>
      <c r="DM95" s="60"/>
      <c r="DN95" s="14"/>
      <c r="DO95" s="14"/>
      <c r="DP95" s="7"/>
      <c r="DQ95" s="7"/>
      <c r="DR95" s="7"/>
      <c r="DS95" s="15"/>
      <c r="DT95" s="15"/>
      <c r="DU95" s="303"/>
      <c r="DV95" s="303"/>
      <c r="DW95" s="62"/>
      <c r="DX95" s="60"/>
      <c r="DY95" s="329"/>
    </row>
    <row r="96" spans="1:129" s="10" customFormat="1" ht="30.75">
      <c r="A96" s="61" t="s">
        <v>9</v>
      </c>
      <c r="B96" s="24" t="s">
        <v>103</v>
      </c>
      <c r="C96" s="61" t="s">
        <v>235</v>
      </c>
      <c r="D96" s="24" t="s">
        <v>283</v>
      </c>
      <c r="E96" s="3">
        <v>615075</v>
      </c>
      <c r="F96" s="406">
        <v>4</v>
      </c>
      <c r="G96" s="406">
        <v>36</v>
      </c>
      <c r="H96" s="406">
        <v>1534</v>
      </c>
      <c r="I96" s="9" t="s">
        <v>42</v>
      </c>
      <c r="J96" s="10" t="s">
        <v>33</v>
      </c>
      <c r="K96" s="3">
        <v>4</v>
      </c>
      <c r="L96" s="3">
        <v>36</v>
      </c>
      <c r="M96" s="45"/>
      <c r="N96" s="3" t="s">
        <v>186</v>
      </c>
      <c r="O96" s="11" t="s">
        <v>191</v>
      </c>
      <c r="P96" s="3" t="s">
        <v>187</v>
      </c>
      <c r="Q96" s="3" t="s">
        <v>187</v>
      </c>
      <c r="R96" s="3">
        <v>312</v>
      </c>
      <c r="S96" s="3" t="s">
        <v>188</v>
      </c>
      <c r="T96" s="12" t="s">
        <v>78</v>
      </c>
      <c r="U96" s="12"/>
      <c r="V96" s="12" t="s">
        <v>222</v>
      </c>
      <c r="W96" s="12" t="s">
        <v>5</v>
      </c>
      <c r="X96" s="8" t="s">
        <v>52</v>
      </c>
      <c r="Y96" s="25" t="s">
        <v>69</v>
      </c>
      <c r="Z96" s="25" t="s">
        <v>92</v>
      </c>
      <c r="AA96" s="10" t="s">
        <v>116</v>
      </c>
      <c r="AB96" s="110" t="s">
        <v>37</v>
      </c>
      <c r="AC96" s="7">
        <v>2800000</v>
      </c>
      <c r="AD96" s="7"/>
      <c r="AE96" s="7">
        <f>AC96+AD96</f>
        <v>2800000</v>
      </c>
      <c r="AF96" s="7">
        <v>-2800000</v>
      </c>
      <c r="AG96" s="7">
        <f t="shared" si="145"/>
        <v>0</v>
      </c>
      <c r="AH96" s="7"/>
      <c r="AI96" s="7">
        <f t="shared" si="146"/>
        <v>0</v>
      </c>
      <c r="AJ96" s="62"/>
      <c r="AK96" s="7">
        <f>2200000+2800000</f>
        <v>5000000</v>
      </c>
      <c r="AL96" s="33">
        <v>0</v>
      </c>
      <c r="AM96" s="7">
        <v>0</v>
      </c>
      <c r="AN96" s="7">
        <f t="shared" si="111"/>
        <v>0</v>
      </c>
      <c r="AO96" s="7"/>
      <c r="AP96" s="7"/>
      <c r="AQ96" s="7">
        <f t="shared" si="112"/>
        <v>0</v>
      </c>
      <c r="AR96" s="7"/>
      <c r="AS96" s="7"/>
      <c r="AT96" s="7">
        <f t="shared" si="113"/>
        <v>0</v>
      </c>
      <c r="AU96" s="7"/>
      <c r="AV96" s="7"/>
      <c r="AW96" s="7">
        <f t="shared" si="114"/>
        <v>0</v>
      </c>
      <c r="AX96" s="7"/>
      <c r="AY96" s="7"/>
      <c r="AZ96" s="7">
        <f t="shared" si="115"/>
        <v>0</v>
      </c>
      <c r="BA96" s="7"/>
      <c r="BB96" s="7"/>
      <c r="BC96" s="7">
        <f t="shared" si="116"/>
        <v>0</v>
      </c>
      <c r="BD96" s="7"/>
      <c r="BE96" s="7"/>
      <c r="BF96" s="7">
        <f t="shared" si="117"/>
        <v>0</v>
      </c>
      <c r="BG96" s="7"/>
      <c r="BH96" s="7"/>
      <c r="BI96" s="7">
        <f t="shared" si="118"/>
        <v>0</v>
      </c>
      <c r="BJ96" s="7"/>
      <c r="BK96" s="7"/>
      <c r="BL96" s="7">
        <f t="shared" si="119"/>
        <v>0</v>
      </c>
      <c r="BM96" s="7"/>
      <c r="BN96" s="7"/>
      <c r="BO96" s="7">
        <f t="shared" si="120"/>
        <v>0</v>
      </c>
      <c r="BP96" s="7"/>
      <c r="BQ96" s="7"/>
      <c r="BR96" s="7">
        <f t="shared" si="121"/>
        <v>0</v>
      </c>
      <c r="BS96" s="7"/>
      <c r="BT96" s="7"/>
      <c r="BU96" s="7">
        <f t="shared" si="122"/>
        <v>0</v>
      </c>
      <c r="BV96" s="7">
        <v>0</v>
      </c>
      <c r="BW96" s="7">
        <f t="shared" si="123"/>
        <v>0</v>
      </c>
      <c r="BX96" s="7">
        <f t="shared" si="124"/>
        <v>0</v>
      </c>
      <c r="BY96" s="7"/>
      <c r="BZ96" s="7">
        <f t="shared" si="125"/>
        <v>5000000</v>
      </c>
      <c r="CA96" s="7">
        <f t="shared" si="126"/>
        <v>5000000</v>
      </c>
      <c r="CB96" s="15">
        <f t="shared" si="127"/>
        <v>0</v>
      </c>
      <c r="CC96" s="15">
        <f t="shared" si="128"/>
        <v>0</v>
      </c>
      <c r="CD96" s="489" t="s">
        <v>765</v>
      </c>
      <c r="CE96" s="7">
        <v>0</v>
      </c>
      <c r="CF96" s="7">
        <v>0</v>
      </c>
      <c r="CG96" s="7"/>
      <c r="CH96" s="7"/>
      <c r="CI96" s="7"/>
      <c r="CJ96" s="7">
        <f>CI96</f>
        <v>0</v>
      </c>
      <c r="CK96" s="7"/>
      <c r="CL96" s="7">
        <f>CK96</f>
        <v>0</v>
      </c>
      <c r="CM96" s="7"/>
      <c r="CN96" s="7">
        <v>0</v>
      </c>
      <c r="CO96" s="7">
        <f>CM96+CN96</f>
        <v>0</v>
      </c>
      <c r="CP96" s="7">
        <f>CI96+CK96+CM96</f>
        <v>0</v>
      </c>
      <c r="CQ96" s="7">
        <f>CJ96+CL96+CO96</f>
        <v>0</v>
      </c>
      <c r="CR96" s="7"/>
      <c r="CS96" s="7"/>
      <c r="CT96" s="7">
        <f t="shared" si="142"/>
        <v>0</v>
      </c>
      <c r="CU96" s="7"/>
      <c r="CV96" s="7"/>
      <c r="CW96" s="7">
        <f>CU96+CV96</f>
        <v>0</v>
      </c>
      <c r="CX96" s="7"/>
      <c r="CY96" s="7"/>
      <c r="CZ96" s="7">
        <f>CX96+CY96</f>
        <v>0</v>
      </c>
      <c r="DA96" s="7"/>
      <c r="DB96" s="7">
        <f>DA96</f>
        <v>0</v>
      </c>
      <c r="DC96" s="7"/>
      <c r="DD96" s="7">
        <f>DC96</f>
        <v>0</v>
      </c>
      <c r="DE96" s="7"/>
      <c r="DF96" s="7">
        <f>DE96</f>
        <v>0</v>
      </c>
      <c r="DG96" s="7"/>
      <c r="DH96" s="7">
        <f>DG96</f>
        <v>0</v>
      </c>
      <c r="DI96" s="7"/>
      <c r="DJ96" s="7">
        <f>DI96</f>
        <v>0</v>
      </c>
      <c r="DK96" s="7"/>
      <c r="DL96" s="7">
        <f>DK96</f>
        <v>0</v>
      </c>
      <c r="DM96" s="7"/>
      <c r="DN96" s="14">
        <f>CI96+CK96+CM96+CR96+CU96+CX96+DA96+DC96+DE96+DG96+DI96+DK96</f>
        <v>0</v>
      </c>
      <c r="DO96" s="14">
        <f>CJ96+CL96+CO96+CT96+CW96+CZ96</f>
        <v>0</v>
      </c>
      <c r="DP96" s="7">
        <v>0</v>
      </c>
      <c r="DQ96" s="7">
        <f>AG96-DN96</f>
        <v>0</v>
      </c>
      <c r="DR96" s="7">
        <f>AG96-DO96</f>
        <v>0</v>
      </c>
      <c r="DS96" s="15" t="e">
        <f>DN96/AG96</f>
        <v>#DIV/0!</v>
      </c>
      <c r="DT96" s="15">
        <v>0</v>
      </c>
      <c r="DU96" s="7"/>
      <c r="DV96" s="7"/>
      <c r="DW96" s="7"/>
      <c r="DX96" s="12"/>
      <c r="DY96" s="329"/>
    </row>
    <row r="97" spans="1:129" s="10" customFormat="1" ht="15" customHeight="1">
      <c r="A97" s="61" t="s">
        <v>9</v>
      </c>
      <c r="B97" s="24" t="s">
        <v>104</v>
      </c>
      <c r="C97" s="61" t="s">
        <v>236</v>
      </c>
      <c r="D97" s="24" t="s">
        <v>283</v>
      </c>
      <c r="E97" s="3">
        <v>615080</v>
      </c>
      <c r="F97" s="406">
        <v>4</v>
      </c>
      <c r="G97" s="406">
        <v>36</v>
      </c>
      <c r="H97" s="406">
        <v>1535</v>
      </c>
      <c r="I97" s="9" t="s">
        <v>42</v>
      </c>
      <c r="J97" s="10" t="s">
        <v>33</v>
      </c>
      <c r="K97" s="3">
        <v>4</v>
      </c>
      <c r="L97" s="3">
        <v>36</v>
      </c>
      <c r="M97" s="45"/>
      <c r="N97" s="3" t="s">
        <v>186</v>
      </c>
      <c r="O97" s="11" t="s">
        <v>191</v>
      </c>
      <c r="P97" s="3" t="s">
        <v>187</v>
      </c>
      <c r="Q97" s="3" t="s">
        <v>187</v>
      </c>
      <c r="R97" s="3">
        <v>312</v>
      </c>
      <c r="S97" s="3" t="s">
        <v>188</v>
      </c>
      <c r="T97" s="12" t="s">
        <v>89</v>
      </c>
      <c r="U97" s="12" t="s">
        <v>222</v>
      </c>
      <c r="V97" s="12"/>
      <c r="W97" s="12" t="s">
        <v>5</v>
      </c>
      <c r="X97" s="8" t="s">
        <v>57</v>
      </c>
      <c r="Y97" s="25" t="s">
        <v>69</v>
      </c>
      <c r="Z97" s="25" t="s">
        <v>92</v>
      </c>
      <c r="AA97" s="10" t="s">
        <v>106</v>
      </c>
      <c r="AB97" s="110" t="s">
        <v>37</v>
      </c>
      <c r="AC97" s="7">
        <v>20000000</v>
      </c>
      <c r="AD97" s="62"/>
      <c r="AE97" s="7">
        <f>AC97+AD97</f>
        <v>20000000</v>
      </c>
      <c r="AF97" s="62">
        <v>-11000000</v>
      </c>
      <c r="AG97" s="7">
        <f t="shared" si="145"/>
        <v>9000000</v>
      </c>
      <c r="AH97" s="62"/>
      <c r="AI97" s="7">
        <f t="shared" si="146"/>
        <v>9000000</v>
      </c>
      <c r="AJ97" s="62"/>
      <c r="AK97" s="7">
        <v>5500000</v>
      </c>
      <c r="AL97" s="472">
        <v>0</v>
      </c>
      <c r="AM97" s="62">
        <v>0</v>
      </c>
      <c r="AN97" s="7">
        <f t="shared" si="111"/>
        <v>0</v>
      </c>
      <c r="AO97" s="62"/>
      <c r="AP97" s="62"/>
      <c r="AQ97" s="7">
        <f t="shared" si="112"/>
        <v>0</v>
      </c>
      <c r="AR97" s="62"/>
      <c r="AS97" s="62"/>
      <c r="AT97" s="7">
        <f t="shared" si="113"/>
        <v>0</v>
      </c>
      <c r="AU97" s="7"/>
      <c r="AV97" s="7"/>
      <c r="AW97" s="7">
        <f t="shared" si="114"/>
        <v>0</v>
      </c>
      <c r="AX97" s="7"/>
      <c r="AY97" s="7"/>
      <c r="AZ97" s="7">
        <f t="shared" si="115"/>
        <v>0</v>
      </c>
      <c r="BA97" s="7"/>
      <c r="BB97" s="7"/>
      <c r="BC97" s="7">
        <f t="shared" si="116"/>
        <v>0</v>
      </c>
      <c r="BD97" s="7"/>
      <c r="BE97" s="7"/>
      <c r="BF97" s="7">
        <f t="shared" si="117"/>
        <v>0</v>
      </c>
      <c r="BG97" s="7"/>
      <c r="BH97" s="7"/>
      <c r="BI97" s="7">
        <f t="shared" si="118"/>
        <v>0</v>
      </c>
      <c r="BJ97" s="7"/>
      <c r="BK97" s="7"/>
      <c r="BL97" s="7">
        <f t="shared" si="119"/>
        <v>0</v>
      </c>
      <c r="BM97" s="7"/>
      <c r="BN97" s="7"/>
      <c r="BO97" s="7">
        <f t="shared" si="120"/>
        <v>0</v>
      </c>
      <c r="BP97" s="7"/>
      <c r="BQ97" s="7"/>
      <c r="BR97" s="7">
        <f t="shared" si="121"/>
        <v>0</v>
      </c>
      <c r="BS97" s="7"/>
      <c r="BT97" s="7"/>
      <c r="BU97" s="7">
        <f t="shared" si="122"/>
        <v>0</v>
      </c>
      <c r="BV97" s="7">
        <v>0</v>
      </c>
      <c r="BW97" s="7">
        <f t="shared" si="123"/>
        <v>0</v>
      </c>
      <c r="BX97" s="7">
        <f t="shared" si="124"/>
        <v>0</v>
      </c>
      <c r="BY97" s="7"/>
      <c r="BZ97" s="7">
        <f t="shared" si="125"/>
        <v>5500000</v>
      </c>
      <c r="CA97" s="7">
        <f t="shared" si="126"/>
        <v>5500000</v>
      </c>
      <c r="CB97" s="15">
        <f t="shared" si="127"/>
        <v>0</v>
      </c>
      <c r="CC97" s="15">
        <f t="shared" si="128"/>
        <v>0</v>
      </c>
      <c r="CD97" s="489" t="s">
        <v>763</v>
      </c>
      <c r="CE97" s="7">
        <v>0</v>
      </c>
      <c r="CF97" s="62">
        <v>0</v>
      </c>
      <c r="CG97" s="62"/>
      <c r="CH97" s="62"/>
      <c r="CI97" s="62"/>
      <c r="CJ97" s="7">
        <f>CI97</f>
        <v>0</v>
      </c>
      <c r="CK97" s="62"/>
      <c r="CL97" s="7">
        <f>CK97</f>
        <v>0</v>
      </c>
      <c r="CM97" s="62"/>
      <c r="CN97" s="62">
        <v>0</v>
      </c>
      <c r="CO97" s="7">
        <f>CM97+CN97</f>
        <v>0</v>
      </c>
      <c r="CP97" s="7">
        <f>CI97+CK97+CM97</f>
        <v>0</v>
      </c>
      <c r="CQ97" s="7">
        <f>CJ97+CL97+CO97</f>
        <v>0</v>
      </c>
      <c r="CR97" s="62"/>
      <c r="CS97" s="62"/>
      <c r="CT97" s="7">
        <f t="shared" si="142"/>
        <v>0</v>
      </c>
      <c r="CU97" s="62"/>
      <c r="CV97" s="62"/>
      <c r="CW97" s="7">
        <f>CU97+CV97</f>
        <v>0</v>
      </c>
      <c r="CX97" s="62">
        <v>295925.40000000002</v>
      </c>
      <c r="CY97" s="62">
        <v>23537.64</v>
      </c>
      <c r="CZ97" s="7">
        <f>CX97+CY97</f>
        <v>319463.04000000004</v>
      </c>
      <c r="DA97" s="62"/>
      <c r="DB97" s="7">
        <f>DA97</f>
        <v>0</v>
      </c>
      <c r="DC97" s="62"/>
      <c r="DD97" s="7">
        <f>DC97</f>
        <v>0</v>
      </c>
      <c r="DE97" s="62"/>
      <c r="DF97" s="7">
        <f>DE97</f>
        <v>0</v>
      </c>
      <c r="DG97" s="62"/>
      <c r="DH97" s="7">
        <f>DG97</f>
        <v>0</v>
      </c>
      <c r="DI97" s="62"/>
      <c r="DJ97" s="7">
        <f>DI97</f>
        <v>0</v>
      </c>
      <c r="DK97" s="62"/>
      <c r="DL97" s="7">
        <f>DK97</f>
        <v>0</v>
      </c>
      <c r="DM97" s="62"/>
      <c r="DN97" s="14">
        <f>CI97+CK97+CM97+CR97+CU97+CX97+DA97+DC97+DE97+DG97+DI97+DK97</f>
        <v>295925.40000000002</v>
      </c>
      <c r="DO97" s="14">
        <f>CJ97+CL97+CO97+CT97+CW97+CZ97</f>
        <v>319463.04000000004</v>
      </c>
      <c r="DP97" s="7">
        <v>0</v>
      </c>
      <c r="DQ97" s="7">
        <f>AG97-DN97</f>
        <v>8704074.5999999996</v>
      </c>
      <c r="DR97" s="7">
        <f>AG97-DO97</f>
        <v>8680536.9600000009</v>
      </c>
      <c r="DS97" s="15">
        <f>DN97/AG97</f>
        <v>3.2880600000000003E-2</v>
      </c>
      <c r="DT97" s="15">
        <f>DO97/AG97</f>
        <v>3.5495893333333341E-2</v>
      </c>
      <c r="DU97" s="7"/>
      <c r="DV97" s="7"/>
      <c r="DW97" s="7"/>
      <c r="DX97" s="12"/>
      <c r="DY97" s="329"/>
    </row>
    <row r="98" spans="1:129" s="10" customFormat="1" ht="75.75">
      <c r="A98" s="61" t="s">
        <v>9</v>
      </c>
      <c r="B98" s="24" t="s">
        <v>65</v>
      </c>
      <c r="C98" s="61" t="s">
        <v>237</v>
      </c>
      <c r="D98" s="24" t="s">
        <v>283</v>
      </c>
      <c r="E98" s="26">
        <v>620005</v>
      </c>
      <c r="F98" s="407">
        <v>4</v>
      </c>
      <c r="G98" s="407">
        <v>36</v>
      </c>
      <c r="H98" s="407">
        <v>1536</v>
      </c>
      <c r="I98" s="9" t="s">
        <v>33</v>
      </c>
      <c r="J98" s="10" t="s">
        <v>33</v>
      </c>
      <c r="K98" s="3">
        <v>4</v>
      </c>
      <c r="L98" s="3">
        <v>36</v>
      </c>
      <c r="M98" s="45"/>
      <c r="N98" s="3" t="s">
        <v>186</v>
      </c>
      <c r="O98" s="11" t="s">
        <v>191</v>
      </c>
      <c r="P98" s="3" t="s">
        <v>187</v>
      </c>
      <c r="Q98" s="3" t="s">
        <v>187</v>
      </c>
      <c r="R98" s="11" t="s">
        <v>198</v>
      </c>
      <c r="S98" s="3" t="s">
        <v>188</v>
      </c>
      <c r="T98" s="12" t="s">
        <v>20</v>
      </c>
      <c r="U98" s="12" t="s">
        <v>222</v>
      </c>
      <c r="V98" s="12"/>
      <c r="W98" s="12" t="s">
        <v>36</v>
      </c>
      <c r="X98" s="8" t="s">
        <v>56</v>
      </c>
      <c r="Y98" s="25" t="s">
        <v>69</v>
      </c>
      <c r="Z98" s="25" t="s">
        <v>92</v>
      </c>
      <c r="AA98" s="258" t="s">
        <v>545</v>
      </c>
      <c r="AB98" s="110" t="s">
        <v>37</v>
      </c>
      <c r="AC98" s="7">
        <v>3000000</v>
      </c>
      <c r="AD98" s="62"/>
      <c r="AE98" s="7">
        <f>AC98+AD98</f>
        <v>3000000</v>
      </c>
      <c r="AF98" s="62"/>
      <c r="AG98" s="7">
        <f t="shared" si="145"/>
        <v>3000000</v>
      </c>
      <c r="AH98" s="62"/>
      <c r="AI98" s="7">
        <f t="shared" si="146"/>
        <v>3000000</v>
      </c>
      <c r="AJ98" s="62"/>
      <c r="AK98" s="7">
        <f>24000000-3301000-10000000+13301000</f>
        <v>24000000</v>
      </c>
      <c r="AL98" s="472">
        <v>52995</v>
      </c>
      <c r="AM98" s="62">
        <v>0</v>
      </c>
      <c r="AN98" s="7">
        <f t="shared" si="111"/>
        <v>52995</v>
      </c>
      <c r="AO98" s="62"/>
      <c r="AP98" s="62"/>
      <c r="AQ98" s="7">
        <f t="shared" si="112"/>
        <v>0</v>
      </c>
      <c r="AR98" s="62"/>
      <c r="AS98" s="62"/>
      <c r="AT98" s="7">
        <f t="shared" si="113"/>
        <v>0</v>
      </c>
      <c r="AU98" s="7"/>
      <c r="AV98" s="7"/>
      <c r="AW98" s="7">
        <f t="shared" si="114"/>
        <v>0</v>
      </c>
      <c r="AX98" s="7"/>
      <c r="AY98" s="7"/>
      <c r="AZ98" s="7">
        <f t="shared" si="115"/>
        <v>0</v>
      </c>
      <c r="BA98" s="7"/>
      <c r="BB98" s="7"/>
      <c r="BC98" s="7">
        <f t="shared" si="116"/>
        <v>0</v>
      </c>
      <c r="BD98" s="7"/>
      <c r="BE98" s="7"/>
      <c r="BF98" s="7">
        <f t="shared" si="117"/>
        <v>0</v>
      </c>
      <c r="BG98" s="7"/>
      <c r="BH98" s="7"/>
      <c r="BI98" s="7">
        <f t="shared" si="118"/>
        <v>0</v>
      </c>
      <c r="BJ98" s="7"/>
      <c r="BK98" s="7"/>
      <c r="BL98" s="7">
        <f t="shared" si="119"/>
        <v>0</v>
      </c>
      <c r="BM98" s="7"/>
      <c r="BN98" s="7"/>
      <c r="BO98" s="7">
        <f t="shared" si="120"/>
        <v>0</v>
      </c>
      <c r="BP98" s="7"/>
      <c r="BQ98" s="7"/>
      <c r="BR98" s="7">
        <f t="shared" si="121"/>
        <v>0</v>
      </c>
      <c r="BS98" s="7"/>
      <c r="BT98" s="7"/>
      <c r="BU98" s="7">
        <f t="shared" si="122"/>
        <v>0</v>
      </c>
      <c r="BV98" s="7">
        <v>3069444.75</v>
      </c>
      <c r="BW98" s="7">
        <f t="shared" si="123"/>
        <v>52995</v>
      </c>
      <c r="BX98" s="7">
        <f t="shared" si="124"/>
        <v>52995</v>
      </c>
      <c r="BY98" s="7"/>
      <c r="BZ98" s="7">
        <f t="shared" si="125"/>
        <v>23947005</v>
      </c>
      <c r="CA98" s="7">
        <f t="shared" si="126"/>
        <v>23947005</v>
      </c>
      <c r="CB98" s="15">
        <f t="shared" si="127"/>
        <v>2.208125E-3</v>
      </c>
      <c r="CC98" s="15">
        <f t="shared" si="128"/>
        <v>2.208125E-3</v>
      </c>
      <c r="CD98" s="489" t="s">
        <v>764</v>
      </c>
      <c r="CE98" s="7">
        <f>30000000-16000000-8000000+24000000</f>
        <v>30000000</v>
      </c>
      <c r="CF98" s="62">
        <f>30000000-8000000+8000000+29500000</f>
        <v>59500000</v>
      </c>
      <c r="CG98" s="62"/>
      <c r="CH98" s="62"/>
      <c r="CI98" s="62"/>
      <c r="CJ98" s="7">
        <f>CI98</f>
        <v>0</v>
      </c>
      <c r="CK98" s="62"/>
      <c r="CL98" s="7">
        <f>CK98</f>
        <v>0</v>
      </c>
      <c r="CM98" s="62"/>
      <c r="CN98" s="62">
        <v>0</v>
      </c>
      <c r="CO98" s="7">
        <f>CM98+CN98</f>
        <v>0</v>
      </c>
      <c r="CP98" s="7">
        <f>CI98+CK98+CM98</f>
        <v>0</v>
      </c>
      <c r="CQ98" s="7">
        <f>CJ98+CL98+CO98</f>
        <v>0</v>
      </c>
      <c r="CR98" s="62">
        <v>162616.91</v>
      </c>
      <c r="CS98" s="62">
        <v>22766.37</v>
      </c>
      <c r="CT98" s="7">
        <f>CR98+CS98</f>
        <v>185383.28</v>
      </c>
      <c r="CU98" s="62">
        <v>234124.03</v>
      </c>
      <c r="CV98" s="62">
        <v>32777.360000000001</v>
      </c>
      <c r="CW98" s="7">
        <f>CU98+CV98</f>
        <v>266901.39</v>
      </c>
      <c r="CX98" s="62">
        <v>866586.58</v>
      </c>
      <c r="CY98" s="62">
        <v>121322.12</v>
      </c>
      <c r="CZ98" s="7">
        <f>CX98+CY98</f>
        <v>987908.7</v>
      </c>
      <c r="DA98" s="62"/>
      <c r="DB98" s="7">
        <f>DA98</f>
        <v>0</v>
      </c>
      <c r="DC98" s="62"/>
      <c r="DD98" s="7">
        <f>DC98</f>
        <v>0</v>
      </c>
      <c r="DE98" s="62"/>
      <c r="DF98" s="7">
        <f>DE98</f>
        <v>0</v>
      </c>
      <c r="DG98" s="62"/>
      <c r="DH98" s="7">
        <f>DG98</f>
        <v>0</v>
      </c>
      <c r="DI98" s="62"/>
      <c r="DJ98" s="7">
        <f>DI98</f>
        <v>0</v>
      </c>
      <c r="DK98" s="62"/>
      <c r="DL98" s="7">
        <f>DK98</f>
        <v>0</v>
      </c>
      <c r="DM98" s="62">
        <v>853992.67</v>
      </c>
      <c r="DN98" s="14">
        <f>CI98+CK98+CM98+CR98+CU98+CX98+DA98+DC98+DE98+DG98+DI98+DK98</f>
        <v>1263327.52</v>
      </c>
      <c r="DO98" s="14">
        <f>CJ98+CL98+CO98+CT98+CW98+CZ98</f>
        <v>1440193.37</v>
      </c>
      <c r="DP98" s="7">
        <v>0</v>
      </c>
      <c r="DQ98" s="7">
        <f>AG98-DN98</f>
        <v>1736672.48</v>
      </c>
      <c r="DR98" s="7">
        <f>AG98-DO98</f>
        <v>1559806.63</v>
      </c>
      <c r="DS98" s="15">
        <f>DN98/AG98</f>
        <v>0.42110917333333336</v>
      </c>
      <c r="DT98" s="15">
        <f>DO98/AG98</f>
        <v>0.48006445666666669</v>
      </c>
      <c r="DU98" s="7"/>
      <c r="DV98" s="7"/>
      <c r="DW98" s="7"/>
      <c r="DX98" s="27"/>
      <c r="DY98" s="329">
        <v>109500000</v>
      </c>
    </row>
    <row r="99" spans="1:129" s="1" customFormat="1" ht="30" customHeight="1">
      <c r="A99" s="61" t="s">
        <v>9</v>
      </c>
      <c r="B99" s="24"/>
      <c r="C99" s="61" t="s">
        <v>652</v>
      </c>
      <c r="D99" s="24"/>
      <c r="E99" s="3">
        <v>615095</v>
      </c>
      <c r="F99" s="406">
        <v>4</v>
      </c>
      <c r="G99" s="412" t="s">
        <v>187</v>
      </c>
      <c r="H99" s="406">
        <v>1527</v>
      </c>
      <c r="I99" s="9" t="s">
        <v>42</v>
      </c>
      <c r="J99" s="10" t="s">
        <v>33</v>
      </c>
      <c r="K99" s="3">
        <v>4</v>
      </c>
      <c r="L99" s="11" t="s">
        <v>187</v>
      </c>
      <c r="M99" s="45"/>
      <c r="N99" s="11" t="s">
        <v>186</v>
      </c>
      <c r="O99" s="11" t="s">
        <v>191</v>
      </c>
      <c r="P99" s="3" t="s">
        <v>187</v>
      </c>
      <c r="Q99" s="3" t="s">
        <v>187</v>
      </c>
      <c r="R99" s="3">
        <v>312</v>
      </c>
      <c r="S99" s="3" t="s">
        <v>188</v>
      </c>
      <c r="T99" s="12" t="s">
        <v>78</v>
      </c>
      <c r="U99" s="12"/>
      <c r="V99" s="12" t="s">
        <v>222</v>
      </c>
      <c r="W99" s="12" t="s">
        <v>36</v>
      </c>
      <c r="X99" s="12" t="s">
        <v>56</v>
      </c>
      <c r="Y99" s="13" t="s">
        <v>69</v>
      </c>
      <c r="Z99" s="25"/>
      <c r="AA99" s="10" t="s">
        <v>433</v>
      </c>
      <c r="AB99" s="12" t="s">
        <v>8</v>
      </c>
      <c r="AC99" s="27"/>
      <c r="AD99" s="36"/>
      <c r="AE99" s="7"/>
      <c r="AF99" s="33"/>
      <c r="AG99" s="33">
        <f t="shared" si="145"/>
        <v>0</v>
      </c>
      <c r="AH99" s="33"/>
      <c r="AI99" s="7">
        <f>+AG99+AH99</f>
        <v>0</v>
      </c>
      <c r="AJ99" s="472"/>
      <c r="AK99" s="27">
        <f>1000000+1000000+471000</f>
        <v>2471000</v>
      </c>
      <c r="AL99" s="36">
        <v>0</v>
      </c>
      <c r="AM99" s="36">
        <v>0</v>
      </c>
      <c r="AN99" s="7">
        <f t="shared" si="111"/>
        <v>0</v>
      </c>
      <c r="AO99" s="36"/>
      <c r="AP99" s="36"/>
      <c r="AQ99" s="7">
        <f t="shared" si="112"/>
        <v>0</v>
      </c>
      <c r="AR99" s="36"/>
      <c r="AS99" s="36"/>
      <c r="AT99" s="7">
        <f t="shared" si="113"/>
        <v>0</v>
      </c>
      <c r="AU99" s="7"/>
      <c r="AV99" s="7"/>
      <c r="AW99" s="7">
        <f t="shared" si="114"/>
        <v>0</v>
      </c>
      <c r="AX99" s="7"/>
      <c r="AY99" s="7"/>
      <c r="AZ99" s="7">
        <f t="shared" si="115"/>
        <v>0</v>
      </c>
      <c r="BA99" s="7"/>
      <c r="BB99" s="7"/>
      <c r="BC99" s="7">
        <f t="shared" si="116"/>
        <v>0</v>
      </c>
      <c r="BD99" s="7"/>
      <c r="BE99" s="7"/>
      <c r="BF99" s="7">
        <f t="shared" si="117"/>
        <v>0</v>
      </c>
      <c r="BG99" s="7"/>
      <c r="BH99" s="7"/>
      <c r="BI99" s="7">
        <f t="shared" si="118"/>
        <v>0</v>
      </c>
      <c r="BJ99" s="7"/>
      <c r="BK99" s="7"/>
      <c r="BL99" s="7">
        <f t="shared" si="119"/>
        <v>0</v>
      </c>
      <c r="BM99" s="7"/>
      <c r="BN99" s="7"/>
      <c r="BO99" s="7">
        <f t="shared" si="120"/>
        <v>0</v>
      </c>
      <c r="BP99" s="7"/>
      <c r="BQ99" s="7"/>
      <c r="BR99" s="7">
        <f t="shared" si="121"/>
        <v>0</v>
      </c>
      <c r="BS99" s="7"/>
      <c r="BT99" s="7"/>
      <c r="BU99" s="7">
        <f t="shared" si="122"/>
        <v>0</v>
      </c>
      <c r="BV99" s="7">
        <v>0</v>
      </c>
      <c r="BW99" s="7">
        <f t="shared" si="123"/>
        <v>0</v>
      </c>
      <c r="BX99" s="7">
        <f t="shared" si="124"/>
        <v>0</v>
      </c>
      <c r="BY99" s="7"/>
      <c r="BZ99" s="7">
        <f t="shared" si="125"/>
        <v>2471000</v>
      </c>
      <c r="CA99" s="7">
        <f t="shared" si="126"/>
        <v>2471000</v>
      </c>
      <c r="CB99" s="15">
        <f t="shared" si="127"/>
        <v>0</v>
      </c>
      <c r="CC99" s="15">
        <f t="shared" si="128"/>
        <v>0</v>
      </c>
      <c r="CD99" s="489" t="s">
        <v>763</v>
      </c>
      <c r="CE99" s="27">
        <v>10000000</v>
      </c>
      <c r="CF99" s="33">
        <v>5000000</v>
      </c>
      <c r="CG99" s="33"/>
      <c r="CH99" s="33"/>
      <c r="CI99" s="36"/>
      <c r="CJ99" s="7"/>
      <c r="CK99" s="36"/>
      <c r="CL99" s="7"/>
      <c r="CM99" s="36"/>
      <c r="CN99" s="36"/>
      <c r="CO99" s="7"/>
      <c r="CP99" s="7"/>
      <c r="CQ99" s="7"/>
      <c r="CR99" s="36"/>
      <c r="CS99" s="36"/>
      <c r="CT99" s="7"/>
      <c r="CU99" s="36"/>
      <c r="CV99" s="36"/>
      <c r="CW99" s="7"/>
      <c r="CX99" s="36"/>
      <c r="CY99" s="36"/>
      <c r="CZ99" s="7"/>
      <c r="DA99" s="36"/>
      <c r="DB99" s="7"/>
      <c r="DC99" s="36"/>
      <c r="DD99" s="7"/>
      <c r="DE99" s="36"/>
      <c r="DF99" s="7"/>
      <c r="DG99" s="36"/>
      <c r="DH99" s="7"/>
      <c r="DI99" s="36"/>
      <c r="DJ99" s="7"/>
      <c r="DK99" s="36"/>
      <c r="DL99" s="7"/>
      <c r="DM99" s="36"/>
      <c r="DN99" s="14"/>
      <c r="DO99" s="14"/>
      <c r="DP99" s="7"/>
      <c r="DQ99" s="7"/>
      <c r="DR99" s="7"/>
      <c r="DS99" s="15"/>
      <c r="DT99" s="15"/>
      <c r="DU99" s="15"/>
      <c r="DV99" s="15"/>
      <c r="DW99" s="7"/>
      <c r="DX99" s="27"/>
      <c r="DY99" s="109"/>
    </row>
    <row r="100" spans="1:129" s="1" customFormat="1" ht="22.5" customHeight="1">
      <c r="A100" s="61" t="s">
        <v>9</v>
      </c>
      <c r="B100" s="24"/>
      <c r="C100" s="61" t="s">
        <v>652</v>
      </c>
      <c r="D100" s="24"/>
      <c r="E100" s="3">
        <v>615095</v>
      </c>
      <c r="F100" s="406">
        <v>4</v>
      </c>
      <c r="G100" s="412" t="s">
        <v>187</v>
      </c>
      <c r="H100" s="406">
        <v>1528</v>
      </c>
      <c r="I100" s="9" t="s">
        <v>42</v>
      </c>
      <c r="J100" s="10" t="s">
        <v>33</v>
      </c>
      <c r="K100" s="3">
        <v>4</v>
      </c>
      <c r="L100" s="11" t="s">
        <v>187</v>
      </c>
      <c r="M100" s="45"/>
      <c r="N100" s="11" t="s">
        <v>186</v>
      </c>
      <c r="O100" s="11" t="s">
        <v>191</v>
      </c>
      <c r="P100" s="3" t="s">
        <v>187</v>
      </c>
      <c r="Q100" s="3" t="s">
        <v>187</v>
      </c>
      <c r="R100" s="11">
        <v>312</v>
      </c>
      <c r="S100" s="3" t="s">
        <v>188</v>
      </c>
      <c r="T100" s="12" t="s">
        <v>78</v>
      </c>
      <c r="U100" s="12"/>
      <c r="V100" s="12" t="s">
        <v>222</v>
      </c>
      <c r="W100" s="51" t="s">
        <v>36</v>
      </c>
      <c r="X100" s="51" t="s">
        <v>56</v>
      </c>
      <c r="Y100" s="13" t="s">
        <v>69</v>
      </c>
      <c r="Z100" s="400"/>
      <c r="AA100" s="10" t="s">
        <v>511</v>
      </c>
      <c r="AB100" s="110" t="s">
        <v>8</v>
      </c>
      <c r="AC100" s="59"/>
      <c r="AD100" s="59"/>
      <c r="AE100" s="7"/>
      <c r="AF100" s="7"/>
      <c r="AG100" s="7">
        <f t="shared" si="145"/>
        <v>0</v>
      </c>
      <c r="AH100" s="7">
        <v>400000</v>
      </c>
      <c r="AI100" s="7">
        <f t="shared" si="146"/>
        <v>400000</v>
      </c>
      <c r="AJ100" s="62"/>
      <c r="AK100" s="27">
        <f>678232+746056</f>
        <v>1424288</v>
      </c>
      <c r="AL100" s="36">
        <v>0</v>
      </c>
      <c r="AM100" s="27">
        <v>0</v>
      </c>
      <c r="AN100" s="7">
        <f t="shared" si="111"/>
        <v>0</v>
      </c>
      <c r="AO100" s="27"/>
      <c r="AP100" s="27"/>
      <c r="AQ100" s="7">
        <f t="shared" si="112"/>
        <v>0</v>
      </c>
      <c r="AR100" s="27"/>
      <c r="AS100" s="27"/>
      <c r="AT100" s="7">
        <f t="shared" si="113"/>
        <v>0</v>
      </c>
      <c r="AU100" s="7"/>
      <c r="AV100" s="7"/>
      <c r="AW100" s="7">
        <f t="shared" si="114"/>
        <v>0</v>
      </c>
      <c r="AX100" s="7"/>
      <c r="AY100" s="7"/>
      <c r="AZ100" s="7">
        <f t="shared" si="115"/>
        <v>0</v>
      </c>
      <c r="BA100" s="7"/>
      <c r="BB100" s="7"/>
      <c r="BC100" s="7">
        <f t="shared" si="116"/>
        <v>0</v>
      </c>
      <c r="BD100" s="7"/>
      <c r="BE100" s="7"/>
      <c r="BF100" s="7">
        <f t="shared" si="117"/>
        <v>0</v>
      </c>
      <c r="BG100" s="7"/>
      <c r="BH100" s="7"/>
      <c r="BI100" s="7">
        <f t="shared" si="118"/>
        <v>0</v>
      </c>
      <c r="BJ100" s="7"/>
      <c r="BK100" s="7"/>
      <c r="BL100" s="7">
        <f t="shared" si="119"/>
        <v>0</v>
      </c>
      <c r="BM100" s="7"/>
      <c r="BN100" s="7"/>
      <c r="BO100" s="7">
        <f t="shared" si="120"/>
        <v>0</v>
      </c>
      <c r="BP100" s="7"/>
      <c r="BQ100" s="7"/>
      <c r="BR100" s="7">
        <f t="shared" si="121"/>
        <v>0</v>
      </c>
      <c r="BS100" s="7"/>
      <c r="BT100" s="7"/>
      <c r="BU100" s="7">
        <f t="shared" si="122"/>
        <v>0</v>
      </c>
      <c r="BV100" s="7">
        <v>0</v>
      </c>
      <c r="BW100" s="7">
        <f t="shared" si="123"/>
        <v>0</v>
      </c>
      <c r="BX100" s="7">
        <f t="shared" si="124"/>
        <v>0</v>
      </c>
      <c r="BY100" s="7"/>
      <c r="BZ100" s="7">
        <f t="shared" si="125"/>
        <v>1424288</v>
      </c>
      <c r="CA100" s="7">
        <f t="shared" si="126"/>
        <v>1424288</v>
      </c>
      <c r="CB100" s="15">
        <f t="shared" si="127"/>
        <v>0</v>
      </c>
      <c r="CC100" s="15">
        <f t="shared" si="128"/>
        <v>0</v>
      </c>
      <c r="CD100" s="489" t="s">
        <v>763</v>
      </c>
      <c r="CE100" s="27">
        <v>820661</v>
      </c>
      <c r="CF100" s="27">
        <f>10000000-1424288-820661</f>
        <v>7755051</v>
      </c>
      <c r="CG100" s="27"/>
      <c r="CH100" s="27"/>
      <c r="CI100" s="59"/>
      <c r="CJ100" s="7"/>
      <c r="CK100" s="59"/>
      <c r="CL100" s="7"/>
      <c r="CM100" s="59"/>
      <c r="CN100" s="59"/>
      <c r="CO100" s="7"/>
      <c r="CP100" s="7"/>
      <c r="CQ100" s="7"/>
      <c r="CR100" s="59"/>
      <c r="CS100" s="59"/>
      <c r="CT100" s="7"/>
      <c r="CU100" s="59"/>
      <c r="CV100" s="59"/>
      <c r="CW100" s="7"/>
      <c r="CX100" s="59"/>
      <c r="CY100" s="59"/>
      <c r="CZ100" s="7"/>
      <c r="DA100" s="59"/>
      <c r="DB100" s="7"/>
      <c r="DC100" s="59"/>
      <c r="DD100" s="7"/>
      <c r="DE100" s="59"/>
      <c r="DF100" s="7"/>
      <c r="DG100" s="59"/>
      <c r="DH100" s="7"/>
      <c r="DI100" s="59"/>
      <c r="DJ100" s="7"/>
      <c r="DK100" s="59"/>
      <c r="DL100" s="7"/>
      <c r="DM100" s="59"/>
      <c r="DN100" s="14"/>
      <c r="DO100" s="14"/>
      <c r="DP100" s="7"/>
      <c r="DQ100" s="7"/>
      <c r="DR100" s="7"/>
      <c r="DS100" s="15"/>
      <c r="DT100" s="15"/>
      <c r="DU100" s="7">
        <v>8000000</v>
      </c>
      <c r="DV100" s="7"/>
      <c r="DW100" s="7"/>
      <c r="DX100" s="27"/>
      <c r="DY100" s="109"/>
    </row>
    <row r="101" spans="1:129" s="1" customFormat="1" ht="21.75" customHeight="1">
      <c r="A101" s="61" t="s">
        <v>9</v>
      </c>
      <c r="B101" s="24"/>
      <c r="C101" s="61" t="s">
        <v>652</v>
      </c>
      <c r="D101" s="24"/>
      <c r="E101" s="3">
        <v>615095</v>
      </c>
      <c r="F101" s="406">
        <v>4</v>
      </c>
      <c r="G101" s="412" t="s">
        <v>187</v>
      </c>
      <c r="H101" s="406">
        <v>1529</v>
      </c>
      <c r="I101" s="9" t="s">
        <v>42</v>
      </c>
      <c r="J101" s="10" t="s">
        <v>33</v>
      </c>
      <c r="K101" s="3">
        <v>4</v>
      </c>
      <c r="L101" s="11" t="s">
        <v>187</v>
      </c>
      <c r="M101" s="45"/>
      <c r="N101" s="11" t="s">
        <v>186</v>
      </c>
      <c r="O101" s="11" t="s">
        <v>191</v>
      </c>
      <c r="P101" s="3" t="s">
        <v>187</v>
      </c>
      <c r="Q101" s="3" t="s">
        <v>187</v>
      </c>
      <c r="R101" s="11">
        <v>312</v>
      </c>
      <c r="S101" s="3" t="s">
        <v>188</v>
      </c>
      <c r="T101" s="12" t="s">
        <v>78</v>
      </c>
      <c r="U101" s="12"/>
      <c r="V101" s="12" t="s">
        <v>222</v>
      </c>
      <c r="W101" s="51" t="s">
        <v>36</v>
      </c>
      <c r="X101" s="51" t="s">
        <v>56</v>
      </c>
      <c r="Y101" s="13" t="s">
        <v>69</v>
      </c>
      <c r="Z101" s="25" t="s">
        <v>92</v>
      </c>
      <c r="AA101" s="10" t="s">
        <v>525</v>
      </c>
      <c r="AB101" s="110" t="s">
        <v>8</v>
      </c>
      <c r="AC101" s="59"/>
      <c r="AD101" s="59"/>
      <c r="AE101" s="7"/>
      <c r="AF101" s="7"/>
      <c r="AG101" s="7">
        <f t="shared" si="145"/>
        <v>0</v>
      </c>
      <c r="AH101" s="7">
        <v>400000</v>
      </c>
      <c r="AI101" s="7">
        <f>+AG101+AH101</f>
        <v>400000</v>
      </c>
      <c r="AJ101" s="62"/>
      <c r="AK101" s="27">
        <v>6000000</v>
      </c>
      <c r="AL101" s="36">
        <v>0</v>
      </c>
      <c r="AM101" s="27">
        <v>0</v>
      </c>
      <c r="AN101" s="7">
        <f t="shared" si="111"/>
        <v>0</v>
      </c>
      <c r="AO101" s="27"/>
      <c r="AP101" s="27"/>
      <c r="AQ101" s="7">
        <f t="shared" si="112"/>
        <v>0</v>
      </c>
      <c r="AR101" s="27"/>
      <c r="AS101" s="27"/>
      <c r="AT101" s="7">
        <f t="shared" si="113"/>
        <v>0</v>
      </c>
      <c r="AU101" s="7"/>
      <c r="AV101" s="7"/>
      <c r="AW101" s="7">
        <f t="shared" si="114"/>
        <v>0</v>
      </c>
      <c r="AX101" s="7"/>
      <c r="AY101" s="7"/>
      <c r="AZ101" s="7">
        <f t="shared" si="115"/>
        <v>0</v>
      </c>
      <c r="BA101" s="7"/>
      <c r="BB101" s="7"/>
      <c r="BC101" s="7">
        <f t="shared" si="116"/>
        <v>0</v>
      </c>
      <c r="BD101" s="7"/>
      <c r="BE101" s="7"/>
      <c r="BF101" s="7">
        <f t="shared" si="117"/>
        <v>0</v>
      </c>
      <c r="BG101" s="7"/>
      <c r="BH101" s="7"/>
      <c r="BI101" s="7">
        <f t="shared" si="118"/>
        <v>0</v>
      </c>
      <c r="BJ101" s="7"/>
      <c r="BK101" s="7"/>
      <c r="BL101" s="7">
        <f t="shared" si="119"/>
        <v>0</v>
      </c>
      <c r="BM101" s="7"/>
      <c r="BN101" s="7"/>
      <c r="BO101" s="7">
        <f t="shared" si="120"/>
        <v>0</v>
      </c>
      <c r="BP101" s="7"/>
      <c r="BQ101" s="7"/>
      <c r="BR101" s="7">
        <f t="shared" si="121"/>
        <v>0</v>
      </c>
      <c r="BS101" s="7"/>
      <c r="BT101" s="7"/>
      <c r="BU101" s="7">
        <f t="shared" si="122"/>
        <v>0</v>
      </c>
      <c r="BV101" s="7">
        <v>0</v>
      </c>
      <c r="BW101" s="7">
        <f t="shared" si="123"/>
        <v>0</v>
      </c>
      <c r="BX101" s="7">
        <f t="shared" si="124"/>
        <v>0</v>
      </c>
      <c r="BY101" s="7"/>
      <c r="BZ101" s="7">
        <f t="shared" si="125"/>
        <v>6000000</v>
      </c>
      <c r="CA101" s="7">
        <f t="shared" si="126"/>
        <v>6000000</v>
      </c>
      <c r="CB101" s="15">
        <f t="shared" si="127"/>
        <v>0</v>
      </c>
      <c r="CC101" s="15">
        <f t="shared" si="128"/>
        <v>0</v>
      </c>
      <c r="CD101" s="489" t="s">
        <v>763</v>
      </c>
      <c r="CE101" s="27">
        <v>900000</v>
      </c>
      <c r="CF101" s="27">
        <v>900000</v>
      </c>
      <c r="CG101" s="27"/>
      <c r="CH101" s="27"/>
      <c r="CI101" s="59"/>
      <c r="CJ101" s="7"/>
      <c r="CK101" s="59"/>
      <c r="CL101" s="7"/>
      <c r="CM101" s="59"/>
      <c r="CN101" s="59"/>
      <c r="CO101" s="7"/>
      <c r="CP101" s="7"/>
      <c r="CQ101" s="7"/>
      <c r="CR101" s="59"/>
      <c r="CS101" s="59"/>
      <c r="CT101" s="7"/>
      <c r="CU101" s="59"/>
      <c r="CV101" s="59"/>
      <c r="CW101" s="7"/>
      <c r="CX101" s="59"/>
      <c r="CY101" s="59"/>
      <c r="CZ101" s="7"/>
      <c r="DA101" s="59"/>
      <c r="DB101" s="7"/>
      <c r="DC101" s="59"/>
      <c r="DD101" s="7"/>
      <c r="DE101" s="59"/>
      <c r="DF101" s="7"/>
      <c r="DG101" s="59"/>
      <c r="DH101" s="7"/>
      <c r="DI101" s="59"/>
      <c r="DJ101" s="7"/>
      <c r="DK101" s="59"/>
      <c r="DL101" s="7"/>
      <c r="DM101" s="59"/>
      <c r="DN101" s="14"/>
      <c r="DO101" s="14"/>
      <c r="DP101" s="7"/>
      <c r="DQ101" s="7"/>
      <c r="DR101" s="7"/>
      <c r="DS101" s="15"/>
      <c r="DT101" s="15"/>
      <c r="DU101" s="7">
        <v>8000000</v>
      </c>
      <c r="DV101" s="7"/>
      <c r="DW101" s="7"/>
      <c r="DX101" s="27"/>
      <c r="DY101" s="109"/>
    </row>
    <row r="102" spans="1:129" s="10" customFormat="1" ht="16.5" customHeight="1" thickBot="1">
      <c r="A102" s="41"/>
      <c r="B102" s="29"/>
      <c r="C102" s="41"/>
      <c r="D102" s="29"/>
      <c r="E102" s="16"/>
      <c r="F102" s="408"/>
      <c r="G102" s="408"/>
      <c r="H102" s="408"/>
      <c r="I102" s="55"/>
      <c r="J102" s="56"/>
      <c r="K102" s="57"/>
      <c r="L102" s="57"/>
      <c r="M102" s="57"/>
      <c r="N102" s="57"/>
      <c r="O102" s="57"/>
      <c r="P102" s="57"/>
      <c r="Q102" s="57"/>
      <c r="R102" s="57"/>
      <c r="S102" s="57"/>
      <c r="T102" s="28"/>
      <c r="U102" s="28"/>
      <c r="V102" s="28"/>
      <c r="W102" s="18"/>
      <c r="X102" s="18"/>
      <c r="Y102" s="39"/>
      <c r="Z102" s="30"/>
      <c r="AA102" s="56" t="s">
        <v>113</v>
      </c>
      <c r="AB102" s="29"/>
      <c r="AC102" s="20">
        <f>SUM(AC96:AC98)</f>
        <v>25800000</v>
      </c>
      <c r="AD102" s="20">
        <f>SUM(AD96:AD98)</f>
        <v>0</v>
      </c>
      <c r="AE102" s="20">
        <f>SUM(AE96:AE98)</f>
        <v>25800000</v>
      </c>
      <c r="AF102" s="20">
        <f>SUM(AF96:AF98)</f>
        <v>-13800000</v>
      </c>
      <c r="AG102" s="20">
        <f t="shared" ref="AG102:CH102" si="147">SUM(AG95:AG101)</f>
        <v>12000000</v>
      </c>
      <c r="AH102" s="20">
        <f t="shared" si="147"/>
        <v>800000</v>
      </c>
      <c r="AI102" s="20">
        <f t="shared" si="147"/>
        <v>12800000</v>
      </c>
      <c r="AJ102" s="470">
        <f t="shared" si="147"/>
        <v>0</v>
      </c>
      <c r="AK102" s="20">
        <f t="shared" si="147"/>
        <v>44895288</v>
      </c>
      <c r="AL102" s="476">
        <f t="shared" si="147"/>
        <v>52995</v>
      </c>
      <c r="AM102" s="20">
        <f t="shared" si="147"/>
        <v>0</v>
      </c>
      <c r="AN102" s="20">
        <f t="shared" si="147"/>
        <v>52995</v>
      </c>
      <c r="AO102" s="20">
        <f t="shared" si="147"/>
        <v>0</v>
      </c>
      <c r="AP102" s="20">
        <f t="shared" si="147"/>
        <v>0</v>
      </c>
      <c r="AQ102" s="20">
        <f t="shared" si="147"/>
        <v>0</v>
      </c>
      <c r="AR102" s="20">
        <f t="shared" si="147"/>
        <v>0</v>
      </c>
      <c r="AS102" s="20">
        <f t="shared" si="147"/>
        <v>0</v>
      </c>
      <c r="AT102" s="20">
        <f t="shared" si="147"/>
        <v>0</v>
      </c>
      <c r="AU102" s="20">
        <f t="shared" si="147"/>
        <v>0</v>
      </c>
      <c r="AV102" s="20">
        <f t="shared" si="147"/>
        <v>0</v>
      </c>
      <c r="AW102" s="20">
        <f t="shared" si="147"/>
        <v>0</v>
      </c>
      <c r="AX102" s="20">
        <f t="shared" si="147"/>
        <v>0</v>
      </c>
      <c r="AY102" s="20">
        <f t="shared" si="147"/>
        <v>0</v>
      </c>
      <c r="AZ102" s="20">
        <f t="shared" si="147"/>
        <v>0</v>
      </c>
      <c r="BA102" s="20">
        <f t="shared" si="147"/>
        <v>0</v>
      </c>
      <c r="BB102" s="20">
        <f t="shared" si="147"/>
        <v>0</v>
      </c>
      <c r="BC102" s="20">
        <f t="shared" si="147"/>
        <v>0</v>
      </c>
      <c r="BD102" s="20">
        <f t="shared" si="147"/>
        <v>0</v>
      </c>
      <c r="BE102" s="20">
        <f t="shared" si="147"/>
        <v>0</v>
      </c>
      <c r="BF102" s="20">
        <f t="shared" si="147"/>
        <v>0</v>
      </c>
      <c r="BG102" s="20">
        <f t="shared" si="147"/>
        <v>0</v>
      </c>
      <c r="BH102" s="20">
        <f t="shared" si="147"/>
        <v>0</v>
      </c>
      <c r="BI102" s="20">
        <f t="shared" si="147"/>
        <v>0</v>
      </c>
      <c r="BJ102" s="20">
        <f t="shared" si="147"/>
        <v>0</v>
      </c>
      <c r="BK102" s="20">
        <f t="shared" si="147"/>
        <v>0</v>
      </c>
      <c r="BL102" s="20">
        <f t="shared" si="147"/>
        <v>0</v>
      </c>
      <c r="BM102" s="20">
        <f t="shared" si="147"/>
        <v>0</v>
      </c>
      <c r="BN102" s="20">
        <f t="shared" si="147"/>
        <v>0</v>
      </c>
      <c r="BO102" s="20">
        <f t="shared" si="147"/>
        <v>0</v>
      </c>
      <c r="BP102" s="20">
        <f t="shared" si="147"/>
        <v>0</v>
      </c>
      <c r="BQ102" s="20">
        <f t="shared" si="147"/>
        <v>0</v>
      </c>
      <c r="BR102" s="20">
        <f t="shared" si="147"/>
        <v>0</v>
      </c>
      <c r="BS102" s="20">
        <f t="shared" si="147"/>
        <v>0</v>
      </c>
      <c r="BT102" s="20">
        <f t="shared" si="147"/>
        <v>0</v>
      </c>
      <c r="BU102" s="20">
        <f t="shared" si="147"/>
        <v>0</v>
      </c>
      <c r="BV102" s="20">
        <f t="shared" si="147"/>
        <v>3069444.75</v>
      </c>
      <c r="BW102" s="20">
        <f t="shared" si="147"/>
        <v>52995</v>
      </c>
      <c r="BX102" s="20">
        <f t="shared" si="147"/>
        <v>52995</v>
      </c>
      <c r="BY102" s="20">
        <f t="shared" si="147"/>
        <v>0</v>
      </c>
      <c r="BZ102" s="20">
        <f t="shared" si="147"/>
        <v>44842293</v>
      </c>
      <c r="CA102" s="20">
        <f t="shared" si="147"/>
        <v>44842293</v>
      </c>
      <c r="CB102" s="21">
        <f t="shared" si="127"/>
        <v>1.1804134099774569E-3</v>
      </c>
      <c r="CC102" s="21">
        <f t="shared" si="128"/>
        <v>1.1804134099774569E-3</v>
      </c>
      <c r="CD102" s="489"/>
      <c r="CE102" s="20">
        <f t="shared" si="147"/>
        <v>42220661</v>
      </c>
      <c r="CF102" s="20">
        <f t="shared" si="147"/>
        <v>73655051</v>
      </c>
      <c r="CG102" s="20">
        <f t="shared" si="147"/>
        <v>0</v>
      </c>
      <c r="CH102" s="20">
        <f t="shared" si="147"/>
        <v>0</v>
      </c>
      <c r="CI102" s="20">
        <f t="shared" ref="CI102:DR102" si="148">SUM(CI96:CI98)</f>
        <v>0</v>
      </c>
      <c r="CJ102" s="20">
        <f t="shared" si="148"/>
        <v>0</v>
      </c>
      <c r="CK102" s="20">
        <f t="shared" si="148"/>
        <v>0</v>
      </c>
      <c r="CL102" s="20">
        <f t="shared" si="148"/>
        <v>0</v>
      </c>
      <c r="CM102" s="20">
        <f t="shared" si="148"/>
        <v>0</v>
      </c>
      <c r="CN102" s="20">
        <f t="shared" si="148"/>
        <v>0</v>
      </c>
      <c r="CO102" s="20">
        <f t="shared" si="148"/>
        <v>0</v>
      </c>
      <c r="CP102" s="20">
        <f t="shared" si="148"/>
        <v>0</v>
      </c>
      <c r="CQ102" s="20">
        <f t="shared" si="148"/>
        <v>0</v>
      </c>
      <c r="CR102" s="20">
        <f t="shared" si="148"/>
        <v>162616.91</v>
      </c>
      <c r="CS102" s="20">
        <f t="shared" si="148"/>
        <v>22766.37</v>
      </c>
      <c r="CT102" s="20">
        <f t="shared" si="148"/>
        <v>185383.28</v>
      </c>
      <c r="CU102" s="20">
        <f t="shared" si="148"/>
        <v>234124.03</v>
      </c>
      <c r="CV102" s="20">
        <f t="shared" si="148"/>
        <v>32777.360000000001</v>
      </c>
      <c r="CW102" s="20">
        <f t="shared" si="148"/>
        <v>266901.39</v>
      </c>
      <c r="CX102" s="20">
        <f t="shared" si="148"/>
        <v>1162511.98</v>
      </c>
      <c r="CY102" s="20">
        <f t="shared" si="148"/>
        <v>144859.76</v>
      </c>
      <c r="CZ102" s="20">
        <f t="shared" si="148"/>
        <v>1307371.74</v>
      </c>
      <c r="DA102" s="20">
        <f t="shared" si="148"/>
        <v>0</v>
      </c>
      <c r="DB102" s="20">
        <f t="shared" si="148"/>
        <v>0</v>
      </c>
      <c r="DC102" s="20">
        <f t="shared" si="148"/>
        <v>0</v>
      </c>
      <c r="DD102" s="20">
        <f t="shared" si="148"/>
        <v>0</v>
      </c>
      <c r="DE102" s="20">
        <f t="shared" si="148"/>
        <v>0</v>
      </c>
      <c r="DF102" s="20">
        <f t="shared" si="148"/>
        <v>0</v>
      </c>
      <c r="DG102" s="20">
        <f t="shared" si="148"/>
        <v>0</v>
      </c>
      <c r="DH102" s="20">
        <f t="shared" si="148"/>
        <v>0</v>
      </c>
      <c r="DI102" s="20">
        <f t="shared" si="148"/>
        <v>0</v>
      </c>
      <c r="DJ102" s="20">
        <f t="shared" si="148"/>
        <v>0</v>
      </c>
      <c r="DK102" s="20">
        <f t="shared" si="148"/>
        <v>0</v>
      </c>
      <c r="DL102" s="20">
        <f t="shared" si="148"/>
        <v>0</v>
      </c>
      <c r="DM102" s="20">
        <f t="shared" si="148"/>
        <v>853992.67</v>
      </c>
      <c r="DN102" s="20">
        <f t="shared" si="148"/>
        <v>1559252.92</v>
      </c>
      <c r="DO102" s="20">
        <f t="shared" si="148"/>
        <v>1759656.4100000001</v>
      </c>
      <c r="DP102" s="20">
        <f t="shared" si="148"/>
        <v>0</v>
      </c>
      <c r="DQ102" s="20">
        <f t="shared" si="148"/>
        <v>10440747.08</v>
      </c>
      <c r="DR102" s="20">
        <f t="shared" si="148"/>
        <v>10240343.59</v>
      </c>
      <c r="DS102" s="21">
        <f>DN102/AG102</f>
        <v>0.12993774333333333</v>
      </c>
      <c r="DT102" s="21">
        <f>DO102/AG102</f>
        <v>0.14663803416666668</v>
      </c>
      <c r="DU102" s="21"/>
      <c r="DV102" s="21"/>
      <c r="DW102" s="20"/>
      <c r="DX102" s="42"/>
      <c r="DY102" s="329"/>
    </row>
    <row r="103" spans="1:129" s="10" customFormat="1" ht="16.5" customHeight="1" thickTop="1">
      <c r="A103" s="24"/>
      <c r="B103" s="24"/>
      <c r="C103" s="24"/>
      <c r="D103" s="24"/>
      <c r="E103" s="3"/>
      <c r="F103" s="406"/>
      <c r="G103" s="406"/>
      <c r="H103" s="406"/>
      <c r="I103" s="9"/>
      <c r="K103" s="3"/>
      <c r="L103" s="3"/>
      <c r="M103" s="45"/>
      <c r="N103" s="3"/>
      <c r="O103" s="3"/>
      <c r="P103" s="3"/>
      <c r="Q103" s="3"/>
      <c r="R103" s="3"/>
      <c r="S103" s="3"/>
      <c r="T103" s="12"/>
      <c r="U103" s="12"/>
      <c r="V103" s="12"/>
      <c r="W103" s="63"/>
      <c r="X103" s="12"/>
      <c r="Y103" s="13"/>
      <c r="Z103" s="25"/>
      <c r="AB103" s="24"/>
      <c r="AC103" s="64"/>
      <c r="AD103" s="64"/>
      <c r="AE103" s="7"/>
      <c r="AF103" s="7"/>
      <c r="AG103" s="7"/>
      <c r="AH103" s="7"/>
      <c r="AI103" s="7"/>
      <c r="AJ103" s="62"/>
      <c r="AK103" s="27"/>
      <c r="AL103" s="36"/>
      <c r="AM103" s="27"/>
      <c r="AN103" s="7"/>
      <c r="AO103" s="27"/>
      <c r="AP103" s="27"/>
      <c r="AQ103" s="7"/>
      <c r="AR103" s="27"/>
      <c r="AS103" s="2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15"/>
      <c r="CC103" s="15"/>
      <c r="CD103" s="489"/>
      <c r="CE103" s="64"/>
      <c r="CF103" s="7"/>
      <c r="CG103" s="7"/>
      <c r="CH103" s="7"/>
      <c r="CI103" s="64"/>
      <c r="CJ103" s="7"/>
      <c r="CK103" s="64"/>
      <c r="CL103" s="7"/>
      <c r="CM103" s="64"/>
      <c r="CN103" s="64"/>
      <c r="CO103" s="7"/>
      <c r="CP103" s="7"/>
      <c r="CQ103" s="7"/>
      <c r="CR103" s="64"/>
      <c r="CS103" s="64"/>
      <c r="CT103" s="7"/>
      <c r="CU103" s="64"/>
      <c r="CV103" s="64"/>
      <c r="CW103" s="7"/>
      <c r="CX103" s="64"/>
      <c r="CY103" s="64"/>
      <c r="CZ103" s="7"/>
      <c r="DA103" s="64"/>
      <c r="DB103" s="7">
        <f>DA103</f>
        <v>0</v>
      </c>
      <c r="DC103" s="64"/>
      <c r="DD103" s="7">
        <f>DC103</f>
        <v>0</v>
      </c>
      <c r="DE103" s="64"/>
      <c r="DF103" s="7">
        <f>DE103</f>
        <v>0</v>
      </c>
      <c r="DG103" s="64"/>
      <c r="DH103" s="7">
        <f>DG103</f>
        <v>0</v>
      </c>
      <c r="DI103" s="64"/>
      <c r="DJ103" s="7">
        <f>DI103</f>
        <v>0</v>
      </c>
      <c r="DK103" s="64"/>
      <c r="DL103" s="7">
        <f>DK103</f>
        <v>0</v>
      </c>
      <c r="DM103" s="64"/>
      <c r="DN103" s="14"/>
      <c r="DO103" s="14"/>
      <c r="DP103" s="7"/>
      <c r="DQ103" s="7"/>
      <c r="DR103" s="7"/>
      <c r="DS103" s="15"/>
      <c r="DT103" s="15"/>
      <c r="DU103" s="15"/>
      <c r="DV103" s="15"/>
      <c r="DW103" s="7"/>
      <c r="DX103" s="64"/>
      <c r="DY103" s="329"/>
    </row>
    <row r="104" spans="1:129" s="10" customFormat="1" ht="16.5" customHeight="1">
      <c r="A104" s="44" t="s">
        <v>567</v>
      </c>
      <c r="B104" s="3"/>
      <c r="C104" s="44"/>
      <c r="D104" s="24"/>
      <c r="E104" s="3"/>
      <c r="F104" s="406"/>
      <c r="G104" s="406"/>
      <c r="H104" s="406"/>
      <c r="I104" s="9"/>
      <c r="K104" s="3"/>
      <c r="L104" s="3"/>
      <c r="M104" s="45"/>
      <c r="N104" s="3"/>
      <c r="O104" s="3"/>
      <c r="P104" s="3"/>
      <c r="Q104" s="3"/>
      <c r="R104" s="3"/>
      <c r="S104" s="3"/>
      <c r="T104" s="12"/>
      <c r="U104" s="12"/>
      <c r="V104" s="12"/>
      <c r="W104" s="12"/>
      <c r="X104" s="12"/>
      <c r="Y104" s="13"/>
      <c r="Z104" s="25"/>
      <c r="AA104" s="395" t="s">
        <v>567</v>
      </c>
      <c r="AB104" s="24"/>
      <c r="AC104" s="64"/>
      <c r="AD104" s="64"/>
      <c r="AE104" s="7"/>
      <c r="AF104" s="7"/>
      <c r="AG104" s="7"/>
      <c r="AH104" s="7"/>
      <c r="AI104" s="7"/>
      <c r="AJ104" s="62"/>
      <c r="AK104" s="27"/>
      <c r="AL104" s="36"/>
      <c r="AM104" s="27"/>
      <c r="AN104" s="7"/>
      <c r="AO104" s="27"/>
      <c r="AP104" s="27"/>
      <c r="AQ104" s="7"/>
      <c r="AR104" s="27"/>
      <c r="AS104" s="2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15"/>
      <c r="CC104" s="15"/>
      <c r="CD104" s="489"/>
      <c r="CE104" s="64"/>
      <c r="CF104" s="7"/>
      <c r="CG104" s="7"/>
      <c r="CH104" s="7"/>
      <c r="CI104" s="64"/>
      <c r="CJ104" s="7"/>
      <c r="CK104" s="64"/>
      <c r="CL104" s="7"/>
      <c r="CM104" s="64"/>
      <c r="CN104" s="64"/>
      <c r="CO104" s="7"/>
      <c r="CP104" s="7"/>
      <c r="CQ104" s="7"/>
      <c r="CR104" s="64"/>
      <c r="CS104" s="64"/>
      <c r="CT104" s="7"/>
      <c r="CU104" s="64"/>
      <c r="CV104" s="64"/>
      <c r="CW104" s="7"/>
      <c r="CX104" s="64"/>
      <c r="CY104" s="64"/>
      <c r="CZ104" s="7"/>
      <c r="DA104" s="64"/>
      <c r="DB104" s="7"/>
      <c r="DC104" s="64"/>
      <c r="DD104" s="7"/>
      <c r="DE104" s="64"/>
      <c r="DF104" s="7"/>
      <c r="DG104" s="64"/>
      <c r="DH104" s="7"/>
      <c r="DI104" s="64"/>
      <c r="DJ104" s="7"/>
      <c r="DK104" s="64"/>
      <c r="DL104" s="7"/>
      <c r="DM104" s="64"/>
      <c r="DN104" s="14"/>
      <c r="DO104" s="14"/>
      <c r="DP104" s="7"/>
      <c r="DQ104" s="7"/>
      <c r="DR104" s="7"/>
      <c r="DS104" s="15"/>
      <c r="DT104" s="15"/>
      <c r="DU104" s="15"/>
      <c r="DV104" s="15"/>
      <c r="DW104" s="7"/>
      <c r="DX104" s="64"/>
      <c r="DY104" s="329"/>
    </row>
    <row r="105" spans="1:129" s="10" customFormat="1" ht="30.75">
      <c r="A105" s="61" t="s">
        <v>578</v>
      </c>
      <c r="B105" s="24"/>
      <c r="C105" s="61" t="s">
        <v>635</v>
      </c>
      <c r="D105" s="24" t="s">
        <v>283</v>
      </c>
      <c r="E105" s="3">
        <v>635005</v>
      </c>
      <c r="F105" s="406">
        <v>4</v>
      </c>
      <c r="G105" s="406">
        <v>36</v>
      </c>
      <c r="H105" s="406">
        <v>1537</v>
      </c>
      <c r="I105" s="9" t="s">
        <v>42</v>
      </c>
      <c r="J105" s="10" t="s">
        <v>33</v>
      </c>
      <c r="K105" s="3">
        <v>4</v>
      </c>
      <c r="L105" s="3">
        <v>36</v>
      </c>
      <c r="M105" s="45"/>
      <c r="N105" s="11" t="s">
        <v>186</v>
      </c>
      <c r="O105" s="11" t="s">
        <v>192</v>
      </c>
      <c r="P105" s="3" t="s">
        <v>187</v>
      </c>
      <c r="Q105" s="3" t="s">
        <v>187</v>
      </c>
      <c r="R105" s="3">
        <v>120</v>
      </c>
      <c r="S105" s="3" t="s">
        <v>188</v>
      </c>
      <c r="T105" s="12" t="s">
        <v>47</v>
      </c>
      <c r="U105" s="12" t="s">
        <v>222</v>
      </c>
      <c r="V105" s="12"/>
      <c r="W105" s="12"/>
      <c r="X105" s="12"/>
      <c r="Y105" s="13" t="s">
        <v>70</v>
      </c>
      <c r="Z105" s="25"/>
      <c r="AA105" s="10" t="s">
        <v>510</v>
      </c>
      <c r="AB105" s="110" t="s">
        <v>37</v>
      </c>
      <c r="AC105" s="7">
        <v>10000000</v>
      </c>
      <c r="AD105" s="7">
        <v>10000000</v>
      </c>
      <c r="AE105" s="7">
        <v>10000000</v>
      </c>
      <c r="AF105" s="7"/>
      <c r="AG105" s="7"/>
      <c r="AH105" s="7"/>
      <c r="AI105" s="7"/>
      <c r="AJ105" s="62"/>
      <c r="AK105" s="7">
        <f>10000000</f>
        <v>10000000</v>
      </c>
      <c r="AL105" s="33">
        <v>0</v>
      </c>
      <c r="AM105" s="7">
        <v>0</v>
      </c>
      <c r="AN105" s="7">
        <f t="shared" si="111"/>
        <v>0</v>
      </c>
      <c r="AO105" s="7"/>
      <c r="AP105" s="7"/>
      <c r="AQ105" s="7">
        <f t="shared" si="112"/>
        <v>0</v>
      </c>
      <c r="AR105" s="7"/>
      <c r="AS105" s="7"/>
      <c r="AT105" s="7">
        <f t="shared" si="113"/>
        <v>0</v>
      </c>
      <c r="AU105" s="7"/>
      <c r="AV105" s="7"/>
      <c r="AW105" s="7">
        <f t="shared" si="114"/>
        <v>0</v>
      </c>
      <c r="AX105" s="7"/>
      <c r="AY105" s="7"/>
      <c r="AZ105" s="7">
        <f t="shared" si="115"/>
        <v>0</v>
      </c>
      <c r="BA105" s="7"/>
      <c r="BB105" s="7"/>
      <c r="BC105" s="7">
        <f t="shared" si="116"/>
        <v>0</v>
      </c>
      <c r="BD105" s="7"/>
      <c r="BE105" s="7"/>
      <c r="BF105" s="7">
        <f t="shared" si="117"/>
        <v>0</v>
      </c>
      <c r="BG105" s="7"/>
      <c r="BH105" s="7"/>
      <c r="BI105" s="7">
        <f t="shared" si="118"/>
        <v>0</v>
      </c>
      <c r="BJ105" s="7"/>
      <c r="BK105" s="7"/>
      <c r="BL105" s="7">
        <f t="shared" si="119"/>
        <v>0</v>
      </c>
      <c r="BM105" s="7"/>
      <c r="BN105" s="7"/>
      <c r="BO105" s="7">
        <f t="shared" si="120"/>
        <v>0</v>
      </c>
      <c r="BP105" s="7"/>
      <c r="BQ105" s="7"/>
      <c r="BR105" s="7">
        <f t="shared" si="121"/>
        <v>0</v>
      </c>
      <c r="BS105" s="7"/>
      <c r="BT105" s="7"/>
      <c r="BU105" s="7">
        <f t="shared" si="122"/>
        <v>0</v>
      </c>
      <c r="BV105" s="7">
        <v>0</v>
      </c>
      <c r="BW105" s="7">
        <f t="shared" si="123"/>
        <v>0</v>
      </c>
      <c r="BX105" s="7">
        <f t="shared" si="124"/>
        <v>0</v>
      </c>
      <c r="BY105" s="7"/>
      <c r="BZ105" s="7">
        <f t="shared" si="125"/>
        <v>10000000</v>
      </c>
      <c r="CA105" s="7">
        <f t="shared" si="126"/>
        <v>10000000</v>
      </c>
      <c r="CB105" s="15">
        <f t="shared" si="127"/>
        <v>0</v>
      </c>
      <c r="CC105" s="15">
        <f t="shared" si="128"/>
        <v>0</v>
      </c>
      <c r="CD105" s="489" t="s">
        <v>763</v>
      </c>
      <c r="CE105" s="7">
        <f>10000000</f>
        <v>10000000</v>
      </c>
      <c r="CF105" s="7">
        <f>10000000</f>
        <v>10000000</v>
      </c>
      <c r="CG105" s="7"/>
      <c r="CH105" s="7"/>
      <c r="CI105" s="64"/>
      <c r="CJ105" s="7"/>
      <c r="CK105" s="64"/>
      <c r="CL105" s="7"/>
      <c r="CM105" s="64"/>
      <c r="CN105" s="64"/>
      <c r="CO105" s="7"/>
      <c r="CP105" s="7"/>
      <c r="CQ105" s="7"/>
      <c r="CR105" s="64"/>
      <c r="CS105" s="64"/>
      <c r="CT105" s="7"/>
      <c r="CU105" s="64"/>
      <c r="CV105" s="64"/>
      <c r="CW105" s="7"/>
      <c r="CX105" s="64"/>
      <c r="CY105" s="64"/>
      <c r="CZ105" s="7"/>
      <c r="DA105" s="64"/>
      <c r="DB105" s="7"/>
      <c r="DC105" s="64"/>
      <c r="DD105" s="7"/>
      <c r="DE105" s="64"/>
      <c r="DF105" s="7"/>
      <c r="DG105" s="64"/>
      <c r="DH105" s="7"/>
      <c r="DI105" s="64"/>
      <c r="DJ105" s="7"/>
      <c r="DK105" s="64"/>
      <c r="DL105" s="7"/>
      <c r="DM105" s="64"/>
      <c r="DN105" s="14"/>
      <c r="DO105" s="14"/>
      <c r="DP105" s="7"/>
      <c r="DQ105" s="7"/>
      <c r="DR105" s="7"/>
      <c r="DS105" s="15"/>
      <c r="DT105" s="15"/>
      <c r="DU105" s="15"/>
      <c r="DV105" s="15"/>
      <c r="DW105" s="7"/>
      <c r="DX105" s="64"/>
      <c r="DY105" s="329"/>
    </row>
    <row r="106" spans="1:129" s="10" customFormat="1" ht="16.5" customHeight="1" thickBot="1">
      <c r="A106" s="28"/>
      <c r="B106" s="24"/>
      <c r="C106" s="28"/>
      <c r="D106" s="24"/>
      <c r="E106" s="16"/>
      <c r="F106" s="16"/>
      <c r="G106" s="16"/>
      <c r="H106" s="16"/>
      <c r="I106" s="28"/>
      <c r="K106" s="16"/>
      <c r="L106" s="16"/>
      <c r="M106" s="57"/>
      <c r="N106" s="16"/>
      <c r="O106" s="16"/>
      <c r="P106" s="16"/>
      <c r="Q106" s="16"/>
      <c r="R106" s="16"/>
      <c r="S106" s="16"/>
      <c r="T106" s="16"/>
      <c r="U106" s="12"/>
      <c r="V106" s="12"/>
      <c r="W106" s="12"/>
      <c r="X106" s="12"/>
      <c r="Y106" s="13"/>
      <c r="Z106" s="30"/>
      <c r="AA106" s="56" t="s">
        <v>568</v>
      </c>
      <c r="AB106" s="28"/>
      <c r="AC106" s="64"/>
      <c r="AD106" s="64"/>
      <c r="AE106" s="7"/>
      <c r="AF106" s="7"/>
      <c r="AG106" s="7"/>
      <c r="AH106" s="7"/>
      <c r="AI106" s="7"/>
      <c r="AJ106" s="62"/>
      <c r="AK106" s="42">
        <f>SUBTOTAL(9,AK105)</f>
        <v>10000000</v>
      </c>
      <c r="AL106" s="478">
        <f t="shared" ref="AL106:CA106" si="149">SUBTOTAL(9,AL105)</f>
        <v>0</v>
      </c>
      <c r="AM106" s="42">
        <f t="shared" si="149"/>
        <v>0</v>
      </c>
      <c r="AN106" s="42">
        <f t="shared" si="149"/>
        <v>0</v>
      </c>
      <c r="AO106" s="42">
        <f t="shared" si="149"/>
        <v>0</v>
      </c>
      <c r="AP106" s="42">
        <f t="shared" si="149"/>
        <v>0</v>
      </c>
      <c r="AQ106" s="42">
        <f t="shared" si="149"/>
        <v>0</v>
      </c>
      <c r="AR106" s="42">
        <f t="shared" si="149"/>
        <v>0</v>
      </c>
      <c r="AS106" s="42">
        <f t="shared" si="149"/>
        <v>0</v>
      </c>
      <c r="AT106" s="42">
        <f t="shared" si="149"/>
        <v>0</v>
      </c>
      <c r="AU106" s="42">
        <f t="shared" si="149"/>
        <v>0</v>
      </c>
      <c r="AV106" s="42">
        <f t="shared" si="149"/>
        <v>0</v>
      </c>
      <c r="AW106" s="42">
        <f t="shared" si="149"/>
        <v>0</v>
      </c>
      <c r="AX106" s="42">
        <f t="shared" si="149"/>
        <v>0</v>
      </c>
      <c r="AY106" s="42">
        <f t="shared" si="149"/>
        <v>0</v>
      </c>
      <c r="AZ106" s="42">
        <f t="shared" si="149"/>
        <v>0</v>
      </c>
      <c r="BA106" s="42">
        <f t="shared" si="149"/>
        <v>0</v>
      </c>
      <c r="BB106" s="42">
        <f t="shared" si="149"/>
        <v>0</v>
      </c>
      <c r="BC106" s="42">
        <f t="shared" si="149"/>
        <v>0</v>
      </c>
      <c r="BD106" s="42">
        <f t="shared" si="149"/>
        <v>0</v>
      </c>
      <c r="BE106" s="42">
        <f t="shared" si="149"/>
        <v>0</v>
      </c>
      <c r="BF106" s="42">
        <f t="shared" si="149"/>
        <v>0</v>
      </c>
      <c r="BG106" s="42">
        <f t="shared" si="149"/>
        <v>0</v>
      </c>
      <c r="BH106" s="42">
        <f t="shared" si="149"/>
        <v>0</v>
      </c>
      <c r="BI106" s="42">
        <f t="shared" si="149"/>
        <v>0</v>
      </c>
      <c r="BJ106" s="42">
        <f t="shared" si="149"/>
        <v>0</v>
      </c>
      <c r="BK106" s="42">
        <f t="shared" si="149"/>
        <v>0</v>
      </c>
      <c r="BL106" s="42">
        <f t="shared" si="149"/>
        <v>0</v>
      </c>
      <c r="BM106" s="42">
        <f t="shared" si="149"/>
        <v>0</v>
      </c>
      <c r="BN106" s="42">
        <f t="shared" si="149"/>
        <v>0</v>
      </c>
      <c r="BO106" s="42">
        <f t="shared" si="149"/>
        <v>0</v>
      </c>
      <c r="BP106" s="42">
        <f t="shared" si="149"/>
        <v>0</v>
      </c>
      <c r="BQ106" s="42">
        <f t="shared" si="149"/>
        <v>0</v>
      </c>
      <c r="BR106" s="42">
        <f t="shared" si="149"/>
        <v>0</v>
      </c>
      <c r="BS106" s="42">
        <f t="shared" si="149"/>
        <v>0</v>
      </c>
      <c r="BT106" s="42">
        <f t="shared" si="149"/>
        <v>0</v>
      </c>
      <c r="BU106" s="42">
        <f t="shared" si="149"/>
        <v>0</v>
      </c>
      <c r="BV106" s="42">
        <f t="shared" si="149"/>
        <v>0</v>
      </c>
      <c r="BW106" s="42">
        <f t="shared" si="149"/>
        <v>0</v>
      </c>
      <c r="BX106" s="42">
        <f t="shared" si="149"/>
        <v>0</v>
      </c>
      <c r="BY106" s="42">
        <f t="shared" si="149"/>
        <v>0</v>
      </c>
      <c r="BZ106" s="42">
        <f t="shared" si="149"/>
        <v>10000000</v>
      </c>
      <c r="CA106" s="42">
        <f t="shared" si="149"/>
        <v>10000000</v>
      </c>
      <c r="CB106" s="21">
        <f t="shared" si="127"/>
        <v>0</v>
      </c>
      <c r="CC106" s="21">
        <f t="shared" si="128"/>
        <v>0</v>
      </c>
      <c r="CD106" s="489"/>
      <c r="CE106" s="42">
        <f>SUBTOTAL(9,CE105)</f>
        <v>10000000</v>
      </c>
      <c r="CF106" s="20">
        <f>SUBTOTAL(9,CF105)</f>
        <v>10000000</v>
      </c>
      <c r="CG106" s="7"/>
      <c r="CH106" s="7"/>
      <c r="CI106" s="64"/>
      <c r="CJ106" s="7"/>
      <c r="CK106" s="64"/>
      <c r="CL106" s="7"/>
      <c r="CM106" s="64"/>
      <c r="CN106" s="64"/>
      <c r="CO106" s="7"/>
      <c r="CP106" s="7"/>
      <c r="CQ106" s="7"/>
      <c r="CR106" s="64"/>
      <c r="CS106" s="64"/>
      <c r="CT106" s="7"/>
      <c r="CU106" s="64"/>
      <c r="CV106" s="64"/>
      <c r="CW106" s="7"/>
      <c r="CX106" s="64"/>
      <c r="CY106" s="64"/>
      <c r="CZ106" s="7"/>
      <c r="DA106" s="64"/>
      <c r="DB106" s="7"/>
      <c r="DC106" s="64"/>
      <c r="DD106" s="7"/>
      <c r="DE106" s="64"/>
      <c r="DF106" s="7"/>
      <c r="DG106" s="64"/>
      <c r="DH106" s="7"/>
      <c r="DI106" s="64"/>
      <c r="DJ106" s="7"/>
      <c r="DK106" s="64"/>
      <c r="DL106" s="7"/>
      <c r="DM106" s="64"/>
      <c r="DN106" s="14"/>
      <c r="DO106" s="14"/>
      <c r="DP106" s="7"/>
      <c r="DQ106" s="7"/>
      <c r="DR106" s="7"/>
      <c r="DS106" s="15"/>
      <c r="DT106" s="15"/>
      <c r="DU106" s="15"/>
      <c r="DV106" s="15"/>
      <c r="DW106" s="7"/>
      <c r="DX106" s="64"/>
      <c r="DY106" s="329"/>
    </row>
    <row r="107" spans="1:129" s="10" customFormat="1" ht="16.5" customHeight="1" thickTop="1">
      <c r="A107" s="24"/>
      <c r="B107" s="24"/>
      <c r="C107" s="24"/>
      <c r="D107" s="24"/>
      <c r="E107" s="3"/>
      <c r="F107" s="406"/>
      <c r="G107" s="406"/>
      <c r="H107" s="406"/>
      <c r="I107" s="9"/>
      <c r="K107" s="3"/>
      <c r="L107" s="3"/>
      <c r="M107" s="45"/>
      <c r="N107" s="3"/>
      <c r="O107" s="3"/>
      <c r="P107" s="3"/>
      <c r="Q107" s="3"/>
      <c r="R107" s="3"/>
      <c r="S107" s="3"/>
      <c r="T107" s="12"/>
      <c r="U107" s="12"/>
      <c r="V107" s="12"/>
      <c r="W107" s="12"/>
      <c r="X107" s="12"/>
      <c r="Y107" s="13"/>
      <c r="Z107" s="25"/>
      <c r="AB107" s="24"/>
      <c r="AC107" s="64"/>
      <c r="AD107" s="64"/>
      <c r="AE107" s="7"/>
      <c r="AF107" s="7"/>
      <c r="AG107" s="7"/>
      <c r="AH107" s="7"/>
      <c r="AI107" s="7"/>
      <c r="AJ107" s="62"/>
      <c r="AK107" s="27"/>
      <c r="AL107" s="36"/>
      <c r="AM107" s="27"/>
      <c r="AN107" s="7"/>
      <c r="AO107" s="27"/>
      <c r="AP107" s="27"/>
      <c r="AQ107" s="7"/>
      <c r="AR107" s="27"/>
      <c r="AS107" s="2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15"/>
      <c r="CC107" s="15"/>
      <c r="CD107" s="489"/>
      <c r="CE107" s="64"/>
      <c r="CF107" s="7"/>
      <c r="CG107" s="7"/>
      <c r="CH107" s="7"/>
      <c r="CI107" s="64"/>
      <c r="CJ107" s="7"/>
      <c r="CK107" s="64"/>
      <c r="CL107" s="7"/>
      <c r="CM107" s="64"/>
      <c r="CN107" s="64"/>
      <c r="CO107" s="7"/>
      <c r="CP107" s="7"/>
      <c r="CQ107" s="7"/>
      <c r="CR107" s="64"/>
      <c r="CS107" s="64"/>
      <c r="CT107" s="7"/>
      <c r="CU107" s="64"/>
      <c r="CV107" s="64"/>
      <c r="CW107" s="7"/>
      <c r="CX107" s="64"/>
      <c r="CY107" s="64"/>
      <c r="CZ107" s="7"/>
      <c r="DA107" s="64"/>
      <c r="DB107" s="7"/>
      <c r="DC107" s="64"/>
      <c r="DD107" s="7"/>
      <c r="DE107" s="64"/>
      <c r="DF107" s="7"/>
      <c r="DG107" s="64"/>
      <c r="DH107" s="7"/>
      <c r="DI107" s="64"/>
      <c r="DJ107" s="7"/>
      <c r="DK107" s="64"/>
      <c r="DL107" s="7"/>
      <c r="DM107" s="64"/>
      <c r="DN107" s="14"/>
      <c r="DO107" s="14"/>
      <c r="DP107" s="7"/>
      <c r="DQ107" s="7"/>
      <c r="DR107" s="7"/>
      <c r="DS107" s="15"/>
      <c r="DT107" s="15"/>
      <c r="DU107" s="15"/>
      <c r="DV107" s="15"/>
      <c r="DW107" s="7"/>
      <c r="DX107" s="64"/>
      <c r="DY107" s="329"/>
    </row>
    <row r="108" spans="1:129" s="10" customFormat="1">
      <c r="A108" s="44" t="s">
        <v>39</v>
      </c>
      <c r="B108" s="24"/>
      <c r="C108" s="44"/>
      <c r="D108" s="24"/>
      <c r="E108" s="3"/>
      <c r="F108" s="406"/>
      <c r="G108" s="406"/>
      <c r="H108" s="406"/>
      <c r="I108" s="9"/>
      <c r="K108" s="3"/>
      <c r="L108" s="3"/>
      <c r="M108" s="45"/>
      <c r="N108" s="3"/>
      <c r="O108" s="3"/>
      <c r="P108" s="3"/>
      <c r="Q108" s="3"/>
      <c r="R108" s="3"/>
      <c r="S108" s="3"/>
      <c r="T108" s="12"/>
      <c r="U108" s="12"/>
      <c r="V108" s="12"/>
      <c r="W108" s="12"/>
      <c r="X108" s="12"/>
      <c r="Y108" s="13"/>
      <c r="Z108" s="25"/>
      <c r="AA108" s="66" t="s">
        <v>39</v>
      </c>
      <c r="AB108" s="24"/>
      <c r="AC108" s="7"/>
      <c r="AD108" s="7"/>
      <c r="AE108" s="7"/>
      <c r="AF108" s="7"/>
      <c r="AG108" s="7"/>
      <c r="AH108" s="7"/>
      <c r="AI108" s="7"/>
      <c r="AJ108" s="62"/>
      <c r="AK108" s="27"/>
      <c r="AL108" s="36"/>
      <c r="AM108" s="27"/>
      <c r="AN108" s="7"/>
      <c r="AO108" s="27"/>
      <c r="AP108" s="27"/>
      <c r="AQ108" s="7"/>
      <c r="AR108" s="27"/>
      <c r="AS108" s="2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15"/>
      <c r="CC108" s="15"/>
      <c r="CD108" s="489"/>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f>DA108</f>
        <v>0</v>
      </c>
      <c r="DC108" s="7"/>
      <c r="DD108" s="7">
        <f>DC108</f>
        <v>0</v>
      </c>
      <c r="DE108" s="7"/>
      <c r="DF108" s="7">
        <f>DE108</f>
        <v>0</v>
      </c>
      <c r="DG108" s="7"/>
      <c r="DH108" s="7">
        <f>DG108</f>
        <v>0</v>
      </c>
      <c r="DI108" s="7"/>
      <c r="DJ108" s="7">
        <f>DI108</f>
        <v>0</v>
      </c>
      <c r="DK108" s="7"/>
      <c r="DL108" s="7">
        <f>DK108</f>
        <v>0</v>
      </c>
      <c r="DM108" s="7"/>
      <c r="DN108" s="14"/>
      <c r="DO108" s="14"/>
      <c r="DP108" s="7"/>
      <c r="DQ108" s="7"/>
      <c r="DR108" s="7"/>
      <c r="DS108" s="15"/>
      <c r="DT108" s="15"/>
      <c r="DU108" s="15"/>
      <c r="DV108" s="15"/>
      <c r="DW108" s="7"/>
      <c r="DX108" s="27"/>
      <c r="DY108" s="329"/>
    </row>
    <row r="109" spans="1:129" s="10" customFormat="1" ht="30.75">
      <c r="A109" s="24" t="s">
        <v>84</v>
      </c>
      <c r="B109" s="24" t="s">
        <v>668</v>
      </c>
      <c r="C109" s="24" t="s">
        <v>238</v>
      </c>
      <c r="D109" s="24"/>
      <c r="E109" s="3">
        <v>705005</v>
      </c>
      <c r="F109" s="406">
        <v>4</v>
      </c>
      <c r="G109" s="412" t="s">
        <v>187</v>
      </c>
      <c r="H109" s="406">
        <v>1530</v>
      </c>
      <c r="I109" s="9" t="s">
        <v>32</v>
      </c>
      <c r="J109" s="10" t="s">
        <v>32</v>
      </c>
      <c r="K109" s="3">
        <v>4</v>
      </c>
      <c r="L109" s="11" t="s">
        <v>187</v>
      </c>
      <c r="M109" s="45"/>
      <c r="N109" s="11" t="s">
        <v>186</v>
      </c>
      <c r="O109" s="11" t="s">
        <v>192</v>
      </c>
      <c r="P109" s="3" t="s">
        <v>187</v>
      </c>
      <c r="Q109" s="3" t="s">
        <v>187</v>
      </c>
      <c r="R109" s="3">
        <v>270</v>
      </c>
      <c r="S109" s="3" t="s">
        <v>188</v>
      </c>
      <c r="T109" s="12" t="s">
        <v>26</v>
      </c>
      <c r="U109" s="12" t="s">
        <v>222</v>
      </c>
      <c r="V109" s="12"/>
      <c r="W109" s="12" t="s">
        <v>2</v>
      </c>
      <c r="X109" s="12"/>
      <c r="Y109" s="25" t="s">
        <v>69</v>
      </c>
      <c r="Z109" s="25" t="s">
        <v>94</v>
      </c>
      <c r="AA109" s="9" t="s">
        <v>293</v>
      </c>
      <c r="AB109" s="12" t="s">
        <v>8</v>
      </c>
      <c r="AC109" s="7"/>
      <c r="AD109" s="7"/>
      <c r="AE109" s="7"/>
      <c r="AF109" s="7"/>
      <c r="AG109" s="7">
        <f>AE109+AF109</f>
        <v>0</v>
      </c>
      <c r="AH109" s="33"/>
      <c r="AI109" s="7">
        <f t="shared" ref="AI109:AI128" si="150">+AG109+AH109</f>
        <v>0</v>
      </c>
      <c r="AJ109" s="472"/>
      <c r="AK109" s="27">
        <f>500000-70000-21000-80000-211190-14110-73700</f>
        <v>30000</v>
      </c>
      <c r="AL109" s="36">
        <v>0</v>
      </c>
      <c r="AM109" s="36">
        <v>0</v>
      </c>
      <c r="AN109" s="7">
        <f t="shared" si="111"/>
        <v>0</v>
      </c>
      <c r="AO109" s="36"/>
      <c r="AP109" s="36"/>
      <c r="AQ109" s="7">
        <f t="shared" si="112"/>
        <v>0</v>
      </c>
      <c r="AR109" s="36"/>
      <c r="AS109" s="36"/>
      <c r="AT109" s="7">
        <f t="shared" si="113"/>
        <v>0</v>
      </c>
      <c r="AU109" s="7"/>
      <c r="AV109" s="7"/>
      <c r="AW109" s="7">
        <f t="shared" si="114"/>
        <v>0</v>
      </c>
      <c r="AX109" s="7"/>
      <c r="AY109" s="7"/>
      <c r="AZ109" s="7">
        <f t="shared" si="115"/>
        <v>0</v>
      </c>
      <c r="BA109" s="7"/>
      <c r="BB109" s="7"/>
      <c r="BC109" s="7">
        <f t="shared" si="116"/>
        <v>0</v>
      </c>
      <c r="BD109" s="7"/>
      <c r="BE109" s="7"/>
      <c r="BF109" s="7">
        <f t="shared" si="117"/>
        <v>0</v>
      </c>
      <c r="BG109" s="7"/>
      <c r="BH109" s="7"/>
      <c r="BI109" s="7">
        <f t="shared" si="118"/>
        <v>0</v>
      </c>
      <c r="BJ109" s="7"/>
      <c r="BK109" s="7"/>
      <c r="BL109" s="7">
        <f t="shared" si="119"/>
        <v>0</v>
      </c>
      <c r="BM109" s="7"/>
      <c r="BN109" s="7"/>
      <c r="BO109" s="7">
        <f t="shared" si="120"/>
        <v>0</v>
      </c>
      <c r="BP109" s="7"/>
      <c r="BQ109" s="7"/>
      <c r="BR109" s="7">
        <f t="shared" si="121"/>
        <v>0</v>
      </c>
      <c r="BS109" s="7"/>
      <c r="BT109" s="7"/>
      <c r="BU109" s="7">
        <f t="shared" si="122"/>
        <v>0</v>
      </c>
      <c r="BV109" s="7">
        <v>0</v>
      </c>
      <c r="BW109" s="7">
        <f t="shared" si="123"/>
        <v>0</v>
      </c>
      <c r="BX109" s="7">
        <f t="shared" si="124"/>
        <v>0</v>
      </c>
      <c r="BY109" s="7"/>
      <c r="BZ109" s="7">
        <f t="shared" si="125"/>
        <v>30000</v>
      </c>
      <c r="CA109" s="7">
        <f t="shared" si="126"/>
        <v>30000</v>
      </c>
      <c r="CB109" s="15">
        <f t="shared" si="127"/>
        <v>0</v>
      </c>
      <c r="CC109" s="15">
        <f t="shared" si="128"/>
        <v>0</v>
      </c>
      <c r="CD109" s="489" t="s">
        <v>748</v>
      </c>
      <c r="CE109" s="7">
        <v>500000</v>
      </c>
      <c r="CF109" s="7">
        <v>500000</v>
      </c>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14"/>
      <c r="DO109" s="14"/>
      <c r="DP109" s="7"/>
      <c r="DQ109" s="7"/>
      <c r="DR109" s="7"/>
      <c r="DS109" s="15"/>
      <c r="DT109" s="15"/>
      <c r="DU109" s="15"/>
      <c r="DV109" s="15"/>
      <c r="DW109" s="7"/>
      <c r="DX109" s="27"/>
      <c r="DY109" s="329"/>
    </row>
    <row r="110" spans="1:129" s="10" customFormat="1" ht="30.75">
      <c r="A110" s="24" t="s">
        <v>84</v>
      </c>
      <c r="B110" s="24" t="s">
        <v>669</v>
      </c>
      <c r="C110" s="24" t="s">
        <v>682</v>
      </c>
      <c r="D110" s="24"/>
      <c r="E110" s="3">
        <v>710005</v>
      </c>
      <c r="F110" s="406">
        <v>4</v>
      </c>
      <c r="G110" s="412" t="s">
        <v>187</v>
      </c>
      <c r="H110" s="406">
        <v>1553</v>
      </c>
      <c r="I110" s="9" t="s">
        <v>32</v>
      </c>
      <c r="J110" s="10" t="s">
        <v>32</v>
      </c>
      <c r="K110" s="3">
        <v>4</v>
      </c>
      <c r="L110" s="11" t="s">
        <v>187</v>
      </c>
      <c r="M110" s="45"/>
      <c r="N110" s="11" t="s">
        <v>186</v>
      </c>
      <c r="O110" s="11" t="s">
        <v>192</v>
      </c>
      <c r="P110" s="3" t="s">
        <v>187</v>
      </c>
      <c r="Q110" s="3" t="s">
        <v>187</v>
      </c>
      <c r="R110" s="3">
        <v>270</v>
      </c>
      <c r="S110" s="3" t="s">
        <v>188</v>
      </c>
      <c r="T110" s="12" t="s">
        <v>26</v>
      </c>
      <c r="U110" s="12" t="s">
        <v>222</v>
      </c>
      <c r="V110" s="12"/>
      <c r="W110" s="12" t="s">
        <v>2</v>
      </c>
      <c r="X110" s="12"/>
      <c r="Y110" s="25" t="s">
        <v>69</v>
      </c>
      <c r="Z110" s="25" t="s">
        <v>94</v>
      </c>
      <c r="AA110" s="10" t="s">
        <v>661</v>
      </c>
      <c r="AB110" s="12" t="s">
        <v>8</v>
      </c>
      <c r="AC110" s="7"/>
      <c r="AD110" s="7"/>
      <c r="AE110" s="7"/>
      <c r="AF110" s="7"/>
      <c r="AG110" s="7"/>
      <c r="AH110" s="33"/>
      <c r="AI110" s="7"/>
      <c r="AJ110" s="472"/>
      <c r="AK110" s="27">
        <v>70000</v>
      </c>
      <c r="AL110" s="36">
        <v>0</v>
      </c>
      <c r="AM110" s="36">
        <v>0</v>
      </c>
      <c r="AN110" s="7">
        <f t="shared" si="111"/>
        <v>0</v>
      </c>
      <c r="AO110" s="36"/>
      <c r="AP110" s="36"/>
      <c r="AQ110" s="7"/>
      <c r="AR110" s="36"/>
      <c r="AS110" s="36"/>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v>0</v>
      </c>
      <c r="BW110" s="7">
        <f t="shared" si="123"/>
        <v>0</v>
      </c>
      <c r="BX110" s="7">
        <f t="shared" si="124"/>
        <v>0</v>
      </c>
      <c r="BY110" s="7"/>
      <c r="BZ110" s="7">
        <f t="shared" si="125"/>
        <v>70000</v>
      </c>
      <c r="CA110" s="7">
        <f t="shared" si="126"/>
        <v>70000</v>
      </c>
      <c r="CB110" s="15">
        <f t="shared" si="127"/>
        <v>0</v>
      </c>
      <c r="CC110" s="15">
        <f t="shared" si="128"/>
        <v>0</v>
      </c>
      <c r="CD110" s="489" t="s">
        <v>749</v>
      </c>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14"/>
      <c r="DO110" s="14"/>
      <c r="DP110" s="7"/>
      <c r="DQ110" s="7"/>
      <c r="DR110" s="7"/>
      <c r="DS110" s="15"/>
      <c r="DT110" s="15"/>
      <c r="DU110" s="15"/>
      <c r="DV110" s="15"/>
      <c r="DW110" s="7"/>
      <c r="DX110" s="27"/>
      <c r="DY110" s="329"/>
    </row>
    <row r="111" spans="1:129" s="10" customFormat="1" ht="30.75">
      <c r="A111" s="24" t="s">
        <v>84</v>
      </c>
      <c r="B111" s="24" t="s">
        <v>670</v>
      </c>
      <c r="C111" s="24" t="s">
        <v>684</v>
      </c>
      <c r="D111" s="24"/>
      <c r="E111" s="3">
        <v>725005</v>
      </c>
      <c r="F111" s="406">
        <v>4</v>
      </c>
      <c r="G111" s="412" t="s">
        <v>187</v>
      </c>
      <c r="H111" s="406">
        <v>1554</v>
      </c>
      <c r="I111" s="9" t="s">
        <v>32</v>
      </c>
      <c r="J111" s="10" t="s">
        <v>32</v>
      </c>
      <c r="K111" s="3">
        <v>4</v>
      </c>
      <c r="L111" s="11" t="s">
        <v>187</v>
      </c>
      <c r="M111" s="45"/>
      <c r="N111" s="11" t="s">
        <v>186</v>
      </c>
      <c r="O111" s="11" t="s">
        <v>192</v>
      </c>
      <c r="P111" s="3" t="s">
        <v>187</v>
      </c>
      <c r="Q111" s="3" t="s">
        <v>187</v>
      </c>
      <c r="R111" s="3">
        <v>270</v>
      </c>
      <c r="S111" s="3" t="s">
        <v>188</v>
      </c>
      <c r="T111" s="12" t="s">
        <v>26</v>
      </c>
      <c r="U111" s="12" t="s">
        <v>222</v>
      </c>
      <c r="V111" s="12"/>
      <c r="W111" s="12" t="s">
        <v>2</v>
      </c>
      <c r="X111" s="12"/>
      <c r="Y111" s="25" t="s">
        <v>69</v>
      </c>
      <c r="Z111" s="25" t="s">
        <v>94</v>
      </c>
      <c r="AA111" s="10" t="s">
        <v>663</v>
      </c>
      <c r="AB111" s="12" t="s">
        <v>8</v>
      </c>
      <c r="AC111" s="7"/>
      <c r="AD111" s="7"/>
      <c r="AE111" s="7"/>
      <c r="AF111" s="7"/>
      <c r="AG111" s="7"/>
      <c r="AH111" s="33"/>
      <c r="AI111" s="7"/>
      <c r="AJ111" s="472"/>
      <c r="AK111" s="27">
        <v>21000</v>
      </c>
      <c r="AL111" s="36">
        <v>0</v>
      </c>
      <c r="AM111" s="36">
        <v>0</v>
      </c>
      <c r="AN111" s="7">
        <f t="shared" si="111"/>
        <v>0</v>
      </c>
      <c r="AO111" s="36"/>
      <c r="AP111" s="36"/>
      <c r="AQ111" s="7"/>
      <c r="AR111" s="36"/>
      <c r="AS111" s="36"/>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v>0</v>
      </c>
      <c r="BW111" s="7">
        <f t="shared" si="123"/>
        <v>0</v>
      </c>
      <c r="BX111" s="7">
        <f t="shared" si="124"/>
        <v>0</v>
      </c>
      <c r="BY111" s="7"/>
      <c r="BZ111" s="7">
        <f t="shared" si="125"/>
        <v>21000</v>
      </c>
      <c r="CA111" s="7">
        <f t="shared" si="126"/>
        <v>21000</v>
      </c>
      <c r="CB111" s="15">
        <f t="shared" si="127"/>
        <v>0</v>
      </c>
      <c r="CC111" s="15">
        <f t="shared" si="128"/>
        <v>0</v>
      </c>
      <c r="CD111" s="489" t="s">
        <v>750</v>
      </c>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14"/>
      <c r="DO111" s="14"/>
      <c r="DP111" s="7"/>
      <c r="DQ111" s="7"/>
      <c r="DR111" s="7"/>
      <c r="DS111" s="15"/>
      <c r="DT111" s="15"/>
      <c r="DU111" s="15"/>
      <c r="DV111" s="15"/>
      <c r="DW111" s="7"/>
      <c r="DX111" s="27"/>
      <c r="DY111" s="329"/>
    </row>
    <row r="112" spans="1:129" s="10" customFormat="1" ht="30.75">
      <c r="A112" s="24" t="s">
        <v>84</v>
      </c>
      <c r="B112" s="24" t="s">
        <v>671</v>
      </c>
      <c r="C112" s="24" t="s">
        <v>637</v>
      </c>
      <c r="E112" s="3">
        <v>725010</v>
      </c>
      <c r="F112" s="406">
        <v>4</v>
      </c>
      <c r="G112" s="412" t="s">
        <v>187</v>
      </c>
      <c r="H112" s="406">
        <v>1533</v>
      </c>
      <c r="I112" s="9" t="s">
        <v>32</v>
      </c>
      <c r="J112" s="10" t="s">
        <v>32</v>
      </c>
      <c r="K112" s="3">
        <v>4</v>
      </c>
      <c r="L112" s="11" t="s">
        <v>187</v>
      </c>
      <c r="M112" s="45"/>
      <c r="N112" s="11" t="s">
        <v>186</v>
      </c>
      <c r="O112" s="11" t="s">
        <v>192</v>
      </c>
      <c r="P112" s="11" t="s">
        <v>187</v>
      </c>
      <c r="Q112" s="3" t="s">
        <v>187</v>
      </c>
      <c r="R112" s="3">
        <v>360</v>
      </c>
      <c r="S112" s="3" t="s">
        <v>188</v>
      </c>
      <c r="T112" s="12" t="s">
        <v>261</v>
      </c>
      <c r="U112" s="12" t="s">
        <v>222</v>
      </c>
      <c r="V112" s="12"/>
      <c r="W112" s="12" t="s">
        <v>2</v>
      </c>
      <c r="X112" s="8"/>
      <c r="Y112" s="13" t="s">
        <v>69</v>
      </c>
      <c r="Z112" s="401" t="s">
        <v>94</v>
      </c>
      <c r="AA112" s="10" t="s">
        <v>451</v>
      </c>
      <c r="AB112" s="12" t="s">
        <v>8</v>
      </c>
      <c r="AC112" s="27"/>
      <c r="AD112" s="27"/>
      <c r="AE112" s="7"/>
      <c r="AF112" s="7"/>
      <c r="AG112" s="7"/>
      <c r="AH112" s="33"/>
      <c r="AI112" s="7"/>
      <c r="AJ112" s="472"/>
      <c r="AK112" s="27">
        <v>4000000</v>
      </c>
      <c r="AL112" s="36">
        <v>0</v>
      </c>
      <c r="AM112" s="36">
        <v>0</v>
      </c>
      <c r="AN112" s="7">
        <f>AL112+AM112</f>
        <v>0</v>
      </c>
      <c r="AO112" s="36"/>
      <c r="AP112" s="36"/>
      <c r="AQ112" s="7">
        <f>AO112+AP112</f>
        <v>0</v>
      </c>
      <c r="AR112" s="36"/>
      <c r="AS112" s="36"/>
      <c r="AT112" s="7">
        <f>AR112+AS112</f>
        <v>0</v>
      </c>
      <c r="AU112" s="7"/>
      <c r="AV112" s="7"/>
      <c r="AW112" s="7">
        <f>AU112+AV112</f>
        <v>0</v>
      </c>
      <c r="AX112" s="7"/>
      <c r="AY112" s="7"/>
      <c r="AZ112" s="7">
        <f>AX112+AY112</f>
        <v>0</v>
      </c>
      <c r="BA112" s="7"/>
      <c r="BB112" s="7"/>
      <c r="BC112" s="7">
        <f>BA112+BB112</f>
        <v>0</v>
      </c>
      <c r="BD112" s="7"/>
      <c r="BE112" s="7"/>
      <c r="BF112" s="7">
        <f>BD112+BE112</f>
        <v>0</v>
      </c>
      <c r="BG112" s="7"/>
      <c r="BH112" s="7"/>
      <c r="BI112" s="7">
        <f>BG112+BH112</f>
        <v>0</v>
      </c>
      <c r="BJ112" s="7"/>
      <c r="BK112" s="7"/>
      <c r="BL112" s="7">
        <f>BJ112+BK112</f>
        <v>0</v>
      </c>
      <c r="BM112" s="7"/>
      <c r="BN112" s="7"/>
      <c r="BO112" s="7">
        <f>BM112+BN112</f>
        <v>0</v>
      </c>
      <c r="BP112" s="7"/>
      <c r="BQ112" s="7"/>
      <c r="BR112" s="7">
        <f>BP112+BQ112</f>
        <v>0</v>
      </c>
      <c r="BS112" s="7"/>
      <c r="BT112" s="7"/>
      <c r="BU112" s="7">
        <f>BS112+BT112</f>
        <v>0</v>
      </c>
      <c r="BV112" s="7">
        <v>0</v>
      </c>
      <c r="BW112" s="7">
        <f>AL112+AO112+AR112++AU112+AX112+BA112+BD112+BG112+BJ112+BM112+BP112+BS112</f>
        <v>0</v>
      </c>
      <c r="BX112" s="7">
        <f>AN112+AQ112+AT112+AW112+AZ112+BC112+BF112+BI112+BL112+BO112+BR112+BU112</f>
        <v>0</v>
      </c>
      <c r="BY112" s="7"/>
      <c r="BZ112" s="7">
        <f>AK112-BW112</f>
        <v>4000000</v>
      </c>
      <c r="CA112" s="7">
        <f>AK112-BX112</f>
        <v>4000000</v>
      </c>
      <c r="CB112" s="15">
        <f>BW112/AK112</f>
        <v>0</v>
      </c>
      <c r="CC112" s="15">
        <f>BX112/AK112</f>
        <v>0</v>
      </c>
      <c r="CD112" s="489" t="s">
        <v>751</v>
      </c>
      <c r="CE112" s="27">
        <v>4000000</v>
      </c>
      <c r="CF112" s="7">
        <v>4000000</v>
      </c>
      <c r="CG112" s="7"/>
      <c r="CH112" s="7"/>
      <c r="CI112" s="27"/>
      <c r="CJ112" s="7"/>
      <c r="CK112" s="27"/>
      <c r="CL112" s="7"/>
      <c r="CM112" s="27"/>
      <c r="CN112" s="27"/>
      <c r="CO112" s="7"/>
      <c r="CP112" s="7"/>
      <c r="CQ112" s="7"/>
      <c r="CR112" s="27"/>
      <c r="CS112" s="27"/>
      <c r="CT112" s="7"/>
      <c r="CU112" s="27"/>
      <c r="CV112" s="27"/>
      <c r="CW112" s="7"/>
      <c r="CX112" s="27"/>
      <c r="CY112" s="27"/>
      <c r="CZ112" s="7"/>
      <c r="DA112" s="27"/>
      <c r="DB112" s="7"/>
      <c r="DC112" s="27"/>
      <c r="DD112" s="7"/>
      <c r="DE112" s="27"/>
      <c r="DF112" s="7"/>
      <c r="DG112" s="27"/>
      <c r="DH112" s="7"/>
      <c r="DI112" s="27"/>
      <c r="DJ112" s="7"/>
      <c r="DK112" s="27"/>
      <c r="DL112" s="7"/>
      <c r="DM112" s="27"/>
      <c r="DN112" s="14"/>
      <c r="DO112" s="14"/>
      <c r="DP112" s="7"/>
      <c r="DQ112" s="7"/>
      <c r="DR112" s="7"/>
      <c r="DS112" s="15"/>
      <c r="DT112" s="15"/>
      <c r="DU112" s="15"/>
      <c r="DV112" s="15"/>
      <c r="DW112" s="7"/>
      <c r="DX112" s="27"/>
      <c r="DY112" s="329"/>
    </row>
    <row r="113" spans="1:129" s="10" customFormat="1" ht="30.75">
      <c r="A113" s="24" t="s">
        <v>84</v>
      </c>
      <c r="B113" s="24" t="s">
        <v>671</v>
      </c>
      <c r="C113" s="24" t="s">
        <v>637</v>
      </c>
      <c r="D113" s="24"/>
      <c r="E113" s="3">
        <v>725010</v>
      </c>
      <c r="F113" s="406">
        <v>4</v>
      </c>
      <c r="G113" s="412" t="s">
        <v>187</v>
      </c>
      <c r="H113" s="406">
        <v>1555</v>
      </c>
      <c r="I113" s="9" t="s">
        <v>32</v>
      </c>
      <c r="J113" s="10" t="s">
        <v>32</v>
      </c>
      <c r="K113" s="3">
        <v>4</v>
      </c>
      <c r="L113" s="11" t="s">
        <v>187</v>
      </c>
      <c r="M113" s="45"/>
      <c r="N113" s="11" t="s">
        <v>186</v>
      </c>
      <c r="O113" s="11" t="s">
        <v>192</v>
      </c>
      <c r="P113" s="3" t="s">
        <v>187</v>
      </c>
      <c r="Q113" s="3" t="s">
        <v>187</v>
      </c>
      <c r="R113" s="3">
        <v>270</v>
      </c>
      <c r="S113" s="3" t="s">
        <v>188</v>
      </c>
      <c r="T113" s="12" t="s">
        <v>26</v>
      </c>
      <c r="U113" s="12" t="s">
        <v>222</v>
      </c>
      <c r="V113" s="12"/>
      <c r="W113" s="12" t="s">
        <v>2</v>
      </c>
      <c r="X113" s="12"/>
      <c r="Y113" s="25" t="s">
        <v>69</v>
      </c>
      <c r="Z113" s="25" t="s">
        <v>94</v>
      </c>
      <c r="AA113" s="10" t="s">
        <v>662</v>
      </c>
      <c r="AB113" s="12" t="s">
        <v>8</v>
      </c>
      <c r="AC113" s="7"/>
      <c r="AD113" s="7"/>
      <c r="AE113" s="7"/>
      <c r="AF113" s="7"/>
      <c r="AG113" s="7"/>
      <c r="AH113" s="33"/>
      <c r="AI113" s="7"/>
      <c r="AJ113" s="472"/>
      <c r="AK113" s="27">
        <v>80000</v>
      </c>
      <c r="AL113" s="36">
        <v>0</v>
      </c>
      <c r="AM113" s="36">
        <v>0</v>
      </c>
      <c r="AN113" s="7">
        <f t="shared" si="111"/>
        <v>0</v>
      </c>
      <c r="AO113" s="36"/>
      <c r="AP113" s="36"/>
      <c r="AQ113" s="7"/>
      <c r="AR113" s="36"/>
      <c r="AS113" s="36"/>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v>0</v>
      </c>
      <c r="BW113" s="7">
        <f t="shared" si="123"/>
        <v>0</v>
      </c>
      <c r="BX113" s="7">
        <f t="shared" si="124"/>
        <v>0</v>
      </c>
      <c r="BY113" s="7"/>
      <c r="BZ113" s="7">
        <f t="shared" si="125"/>
        <v>80000</v>
      </c>
      <c r="CA113" s="7">
        <f t="shared" si="126"/>
        <v>80000</v>
      </c>
      <c r="CB113" s="15">
        <f t="shared" si="127"/>
        <v>0</v>
      </c>
      <c r="CC113" s="15">
        <f t="shared" si="128"/>
        <v>0</v>
      </c>
      <c r="CD113" s="489" t="s">
        <v>749</v>
      </c>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14"/>
      <c r="DO113" s="14"/>
      <c r="DP113" s="7"/>
      <c r="DQ113" s="7"/>
      <c r="DR113" s="7"/>
      <c r="DS113" s="15"/>
      <c r="DT113" s="15"/>
      <c r="DU113" s="15"/>
      <c r="DV113" s="15"/>
      <c r="DW113" s="7"/>
      <c r="DX113" s="27"/>
      <c r="DY113" s="329"/>
    </row>
    <row r="114" spans="1:129" s="10" customFormat="1" ht="30.75">
      <c r="A114" s="24" t="s">
        <v>84</v>
      </c>
      <c r="B114" s="24" t="s">
        <v>141</v>
      </c>
      <c r="C114" s="24" t="s">
        <v>638</v>
      </c>
      <c r="D114" s="24"/>
      <c r="E114" s="3">
        <v>725015</v>
      </c>
      <c r="F114" s="406">
        <v>4</v>
      </c>
      <c r="G114" s="412" t="s">
        <v>187</v>
      </c>
      <c r="H114" s="406">
        <v>1534</v>
      </c>
      <c r="I114" s="9" t="s">
        <v>32</v>
      </c>
      <c r="J114" s="10" t="s">
        <v>32</v>
      </c>
      <c r="K114" s="3">
        <v>4</v>
      </c>
      <c r="L114" s="11" t="s">
        <v>187</v>
      </c>
      <c r="M114" s="45"/>
      <c r="N114" s="11" t="s">
        <v>186</v>
      </c>
      <c r="O114" s="11" t="s">
        <v>192</v>
      </c>
      <c r="P114" s="11" t="s">
        <v>187</v>
      </c>
      <c r="Q114" s="3" t="s">
        <v>187</v>
      </c>
      <c r="R114" s="3">
        <v>260</v>
      </c>
      <c r="S114" s="3" t="s">
        <v>188</v>
      </c>
      <c r="T114" s="12" t="s">
        <v>260</v>
      </c>
      <c r="U114" s="12" t="s">
        <v>222</v>
      </c>
      <c r="V114" s="12"/>
      <c r="W114" s="12" t="s">
        <v>2</v>
      </c>
      <c r="X114" s="8" t="s">
        <v>52</v>
      </c>
      <c r="Y114" s="25" t="s">
        <v>69</v>
      </c>
      <c r="Z114" s="401">
        <v>47</v>
      </c>
      <c r="AA114" s="10" t="s">
        <v>105</v>
      </c>
      <c r="AB114" s="12" t="s">
        <v>8</v>
      </c>
      <c r="AC114" s="27">
        <v>500000</v>
      </c>
      <c r="AD114" s="27"/>
      <c r="AE114" s="7">
        <f>AC114+AD114</f>
        <v>500000</v>
      </c>
      <c r="AF114" s="7"/>
      <c r="AG114" s="7">
        <f>AE114+AF114</f>
        <v>500000</v>
      </c>
      <c r="AH114" s="33"/>
      <c r="AI114" s="7">
        <f t="shared" si="150"/>
        <v>500000</v>
      </c>
      <c r="AJ114" s="472"/>
      <c r="AK114" s="27">
        <v>2000000</v>
      </c>
      <c r="AL114" s="36">
        <v>0</v>
      </c>
      <c r="AM114" s="36">
        <v>0</v>
      </c>
      <c r="AN114" s="7">
        <f t="shared" si="111"/>
        <v>0</v>
      </c>
      <c r="AO114" s="36"/>
      <c r="AP114" s="36"/>
      <c r="AQ114" s="7">
        <f t="shared" si="112"/>
        <v>0</v>
      </c>
      <c r="AR114" s="36"/>
      <c r="AS114" s="36"/>
      <c r="AT114" s="7">
        <f t="shared" si="113"/>
        <v>0</v>
      </c>
      <c r="AU114" s="7"/>
      <c r="AV114" s="7"/>
      <c r="AW114" s="7">
        <f t="shared" si="114"/>
        <v>0</v>
      </c>
      <c r="AX114" s="7"/>
      <c r="AY114" s="7"/>
      <c r="AZ114" s="7">
        <f t="shared" si="115"/>
        <v>0</v>
      </c>
      <c r="BA114" s="7"/>
      <c r="BB114" s="7"/>
      <c r="BC114" s="7">
        <f t="shared" si="116"/>
        <v>0</v>
      </c>
      <c r="BD114" s="7"/>
      <c r="BE114" s="7"/>
      <c r="BF114" s="7">
        <f t="shared" si="117"/>
        <v>0</v>
      </c>
      <c r="BG114" s="7"/>
      <c r="BH114" s="7"/>
      <c r="BI114" s="7">
        <f t="shared" si="118"/>
        <v>0</v>
      </c>
      <c r="BJ114" s="7"/>
      <c r="BK114" s="7"/>
      <c r="BL114" s="7">
        <f t="shared" si="119"/>
        <v>0</v>
      </c>
      <c r="BM114" s="7"/>
      <c r="BN114" s="7"/>
      <c r="BO114" s="7">
        <f t="shared" si="120"/>
        <v>0</v>
      </c>
      <c r="BP114" s="7"/>
      <c r="BQ114" s="7"/>
      <c r="BR114" s="7">
        <f t="shared" si="121"/>
        <v>0</v>
      </c>
      <c r="BS114" s="7"/>
      <c r="BT114" s="7"/>
      <c r="BU114" s="7">
        <f t="shared" si="122"/>
        <v>0</v>
      </c>
      <c r="BV114" s="7">
        <v>0</v>
      </c>
      <c r="BW114" s="7">
        <f t="shared" si="123"/>
        <v>0</v>
      </c>
      <c r="BX114" s="7">
        <f t="shared" si="124"/>
        <v>0</v>
      </c>
      <c r="BY114" s="7"/>
      <c r="BZ114" s="7">
        <f t="shared" si="125"/>
        <v>2000000</v>
      </c>
      <c r="CA114" s="7">
        <f t="shared" si="126"/>
        <v>2000000</v>
      </c>
      <c r="CB114" s="15">
        <f t="shared" si="127"/>
        <v>0</v>
      </c>
      <c r="CC114" s="15">
        <f t="shared" si="128"/>
        <v>0</v>
      </c>
      <c r="CD114" s="489" t="s">
        <v>752</v>
      </c>
      <c r="CE114" s="27">
        <v>2000000</v>
      </c>
      <c r="CF114" s="7">
        <v>4000000</v>
      </c>
      <c r="CG114" s="7"/>
      <c r="CH114" s="7"/>
      <c r="CI114" s="27"/>
      <c r="CJ114" s="7">
        <f>CI114</f>
        <v>0</v>
      </c>
      <c r="CK114" s="27"/>
      <c r="CL114" s="7">
        <f>CK114</f>
        <v>0</v>
      </c>
      <c r="CM114" s="27"/>
      <c r="CN114" s="27"/>
      <c r="CO114" s="7">
        <f>CM114+CN114</f>
        <v>0</v>
      </c>
      <c r="CP114" s="7">
        <f>CI114+CK114+CM114</f>
        <v>0</v>
      </c>
      <c r="CQ114" s="7">
        <f>CJ114+CL114+CO114</f>
        <v>0</v>
      </c>
      <c r="CR114" s="27"/>
      <c r="CS114" s="27"/>
      <c r="CT114" s="7">
        <f>CR114+CS114</f>
        <v>0</v>
      </c>
      <c r="CU114" s="27"/>
      <c r="CV114" s="27"/>
      <c r="CW114" s="7">
        <f>CU114+CV114</f>
        <v>0</v>
      </c>
      <c r="CX114" s="27"/>
      <c r="CY114" s="27"/>
      <c r="CZ114" s="7">
        <f>CX114+CY114</f>
        <v>0</v>
      </c>
      <c r="DA114" s="27"/>
      <c r="DB114" s="7">
        <f>DA114</f>
        <v>0</v>
      </c>
      <c r="DC114" s="27"/>
      <c r="DD114" s="7">
        <f>DC114</f>
        <v>0</v>
      </c>
      <c r="DE114" s="27"/>
      <c r="DF114" s="7">
        <f>DE114</f>
        <v>0</v>
      </c>
      <c r="DG114" s="27"/>
      <c r="DH114" s="7">
        <f>DG114</f>
        <v>0</v>
      </c>
      <c r="DI114" s="27"/>
      <c r="DJ114" s="7">
        <f>DI114</f>
        <v>0</v>
      </c>
      <c r="DK114" s="27"/>
      <c r="DL114" s="7">
        <f>DK114</f>
        <v>0</v>
      </c>
      <c r="DM114" s="27"/>
      <c r="DN114" s="14">
        <f>CI114+CK114+CM114+CR114+CU114+CX114+DA114+DC114+DE114+DG114+DI114+DK114</f>
        <v>0</v>
      </c>
      <c r="DO114" s="14">
        <f>CJ114+CL114+CO114+CT114+CW114+CZ114</f>
        <v>0</v>
      </c>
      <c r="DP114" s="7"/>
      <c r="DQ114" s="7">
        <f>AG114-DN114</f>
        <v>500000</v>
      </c>
      <c r="DR114" s="7">
        <f>AG114-DO114</f>
        <v>500000</v>
      </c>
      <c r="DS114" s="15">
        <f>DN114/AG114</f>
        <v>0</v>
      </c>
      <c r="DT114" s="15">
        <f>DO114/AG114</f>
        <v>0</v>
      </c>
      <c r="DU114" s="15"/>
      <c r="DV114" s="15"/>
      <c r="DW114" s="7"/>
      <c r="DX114" s="27"/>
      <c r="DY114" s="329"/>
    </row>
    <row r="115" spans="1:129" s="10" customFormat="1">
      <c r="A115" s="24" t="s">
        <v>84</v>
      </c>
      <c r="B115" s="24" t="s">
        <v>141</v>
      </c>
      <c r="C115" s="24" t="s">
        <v>638</v>
      </c>
      <c r="E115" s="3">
        <v>725015</v>
      </c>
      <c r="F115" s="406">
        <v>4</v>
      </c>
      <c r="G115" s="412" t="s">
        <v>187</v>
      </c>
      <c r="H115" s="406">
        <v>1535</v>
      </c>
      <c r="I115" s="9" t="s">
        <v>32</v>
      </c>
      <c r="J115" s="10" t="s">
        <v>32</v>
      </c>
      <c r="K115" s="3">
        <v>4</v>
      </c>
      <c r="L115" s="11" t="s">
        <v>187</v>
      </c>
      <c r="M115" s="45"/>
      <c r="N115" s="11" t="s">
        <v>186</v>
      </c>
      <c r="O115" s="11" t="s">
        <v>192</v>
      </c>
      <c r="P115" s="11" t="s">
        <v>187</v>
      </c>
      <c r="Q115" s="3" t="s">
        <v>187</v>
      </c>
      <c r="R115" s="3">
        <v>250</v>
      </c>
      <c r="S115" s="3" t="s">
        <v>188</v>
      </c>
      <c r="T115" s="12" t="s">
        <v>46</v>
      </c>
      <c r="U115" s="12" t="s">
        <v>222</v>
      </c>
      <c r="V115" s="12"/>
      <c r="W115" s="12" t="s">
        <v>2</v>
      </c>
      <c r="X115" s="8" t="s">
        <v>52</v>
      </c>
      <c r="Y115" s="25" t="s">
        <v>69</v>
      </c>
      <c r="Z115" s="401" t="s">
        <v>94</v>
      </c>
      <c r="AA115" s="10" t="s">
        <v>128</v>
      </c>
      <c r="AB115" s="12" t="s">
        <v>8</v>
      </c>
      <c r="AC115" s="27">
        <v>50000</v>
      </c>
      <c r="AD115" s="27"/>
      <c r="AE115" s="7">
        <f>AC115+AD115</f>
        <v>50000</v>
      </c>
      <c r="AF115" s="7"/>
      <c r="AG115" s="7">
        <f>AE115+AF115</f>
        <v>50000</v>
      </c>
      <c r="AH115" s="33"/>
      <c r="AI115" s="7">
        <f t="shared" si="150"/>
        <v>50000</v>
      </c>
      <c r="AJ115" s="472"/>
      <c r="AK115" s="27">
        <v>100000</v>
      </c>
      <c r="AL115" s="36">
        <v>0</v>
      </c>
      <c r="AM115" s="36">
        <v>0</v>
      </c>
      <c r="AN115" s="7">
        <f t="shared" si="111"/>
        <v>0</v>
      </c>
      <c r="AO115" s="36"/>
      <c r="AP115" s="36"/>
      <c r="AQ115" s="7">
        <f t="shared" si="112"/>
        <v>0</v>
      </c>
      <c r="AR115" s="36"/>
      <c r="AS115" s="36"/>
      <c r="AT115" s="7">
        <f t="shared" si="113"/>
        <v>0</v>
      </c>
      <c r="AU115" s="7"/>
      <c r="AV115" s="7"/>
      <c r="AW115" s="7">
        <f t="shared" si="114"/>
        <v>0</v>
      </c>
      <c r="AX115" s="7"/>
      <c r="AY115" s="7"/>
      <c r="AZ115" s="7">
        <f t="shared" si="115"/>
        <v>0</v>
      </c>
      <c r="BA115" s="7"/>
      <c r="BB115" s="7"/>
      <c r="BC115" s="7">
        <f t="shared" si="116"/>
        <v>0</v>
      </c>
      <c r="BD115" s="7"/>
      <c r="BE115" s="7"/>
      <c r="BF115" s="7">
        <f t="shared" si="117"/>
        <v>0</v>
      </c>
      <c r="BG115" s="7"/>
      <c r="BH115" s="7"/>
      <c r="BI115" s="7">
        <f t="shared" si="118"/>
        <v>0</v>
      </c>
      <c r="BJ115" s="7"/>
      <c r="BK115" s="7"/>
      <c r="BL115" s="7">
        <f t="shared" si="119"/>
        <v>0</v>
      </c>
      <c r="BM115" s="7"/>
      <c r="BN115" s="7"/>
      <c r="BO115" s="7">
        <f t="shared" si="120"/>
        <v>0</v>
      </c>
      <c r="BP115" s="7"/>
      <c r="BQ115" s="7"/>
      <c r="BR115" s="7">
        <f t="shared" si="121"/>
        <v>0</v>
      </c>
      <c r="BS115" s="7"/>
      <c r="BT115" s="7"/>
      <c r="BU115" s="7">
        <f t="shared" si="122"/>
        <v>0</v>
      </c>
      <c r="BV115" s="7">
        <v>0</v>
      </c>
      <c r="BW115" s="7">
        <f t="shared" si="123"/>
        <v>0</v>
      </c>
      <c r="BX115" s="7">
        <f t="shared" si="124"/>
        <v>0</v>
      </c>
      <c r="BY115" s="7"/>
      <c r="BZ115" s="7">
        <f t="shared" si="125"/>
        <v>100000</v>
      </c>
      <c r="CA115" s="7">
        <f t="shared" si="126"/>
        <v>100000</v>
      </c>
      <c r="CB115" s="15">
        <f t="shared" si="127"/>
        <v>0</v>
      </c>
      <c r="CC115" s="15">
        <f t="shared" si="128"/>
        <v>0</v>
      </c>
      <c r="CD115" s="489" t="s">
        <v>753</v>
      </c>
      <c r="CE115" s="27">
        <v>0</v>
      </c>
      <c r="CF115" s="7">
        <v>200000</v>
      </c>
      <c r="CG115" s="7"/>
      <c r="CH115" s="7"/>
      <c r="CI115" s="27"/>
      <c r="CJ115" s="7">
        <f>CI115</f>
        <v>0</v>
      </c>
      <c r="CK115" s="7"/>
      <c r="CL115" s="7">
        <f>CK115</f>
        <v>0</v>
      </c>
      <c r="CM115" s="27"/>
      <c r="CN115" s="27"/>
      <c r="CO115" s="7">
        <f>CM115+CN115</f>
        <v>0</v>
      </c>
      <c r="CP115" s="7">
        <f>CI115+CK115+CM115</f>
        <v>0</v>
      </c>
      <c r="CQ115" s="7">
        <f>CJ115+CL115+CO115</f>
        <v>0</v>
      </c>
      <c r="CR115" s="27"/>
      <c r="CS115" s="27"/>
      <c r="CT115" s="7">
        <f>CR115+CS115</f>
        <v>0</v>
      </c>
      <c r="CU115" s="27">
        <v>43280</v>
      </c>
      <c r="CV115" s="27"/>
      <c r="CW115" s="7">
        <f>CU115+CV115</f>
        <v>43280</v>
      </c>
      <c r="CX115" s="27"/>
      <c r="CY115" s="27"/>
      <c r="CZ115" s="7">
        <f>CX115+CY115</f>
        <v>0</v>
      </c>
      <c r="DA115" s="27"/>
      <c r="DB115" s="7">
        <f>DA115</f>
        <v>0</v>
      </c>
      <c r="DC115" s="27"/>
      <c r="DD115" s="7">
        <f>DC115</f>
        <v>0</v>
      </c>
      <c r="DE115" s="27"/>
      <c r="DF115" s="7">
        <f>DE115</f>
        <v>0</v>
      </c>
      <c r="DG115" s="27"/>
      <c r="DH115" s="7">
        <f>DG115</f>
        <v>0</v>
      </c>
      <c r="DI115" s="27"/>
      <c r="DJ115" s="7">
        <f>DI115</f>
        <v>0</v>
      </c>
      <c r="DK115" s="27"/>
      <c r="DL115" s="7">
        <f>DK115</f>
        <v>0</v>
      </c>
      <c r="DM115" s="27"/>
      <c r="DN115" s="14">
        <f>CI115+CK115+CM115+CR115+CU115+CX115+DA115+DC115+DE115+DG115+DI115+DK115</f>
        <v>43280</v>
      </c>
      <c r="DO115" s="14">
        <f>CJ115+CL115+CO115+CT115+CW115+CZ115</f>
        <v>43280</v>
      </c>
      <c r="DP115" s="7"/>
      <c r="DQ115" s="7">
        <f>AG115-DN115</f>
        <v>6720</v>
      </c>
      <c r="DR115" s="7">
        <f>AG115-DO115</f>
        <v>6720</v>
      </c>
      <c r="DS115" s="15">
        <f>DN115/AG115</f>
        <v>0.86560000000000004</v>
      </c>
      <c r="DT115" s="15">
        <f>DO115/AG115</f>
        <v>0.86560000000000004</v>
      </c>
      <c r="DU115" s="15"/>
      <c r="DV115" s="15"/>
      <c r="DW115" s="7"/>
      <c r="DX115" s="27"/>
      <c r="DY115" s="329"/>
    </row>
    <row r="116" spans="1:129" s="10" customFormat="1" ht="30.75">
      <c r="A116" s="24" t="s">
        <v>84</v>
      </c>
      <c r="B116" s="24" t="s">
        <v>141</v>
      </c>
      <c r="C116" s="24" t="s">
        <v>638</v>
      </c>
      <c r="E116" s="3">
        <v>725015</v>
      </c>
      <c r="F116" s="406">
        <v>4</v>
      </c>
      <c r="G116" s="412" t="s">
        <v>187</v>
      </c>
      <c r="H116" s="406">
        <v>1557</v>
      </c>
      <c r="I116" s="9" t="s">
        <v>32</v>
      </c>
      <c r="J116" s="10" t="s">
        <v>32</v>
      </c>
      <c r="K116" s="3">
        <v>4</v>
      </c>
      <c r="L116" s="11" t="s">
        <v>187</v>
      </c>
      <c r="M116" s="45"/>
      <c r="N116" s="11" t="s">
        <v>186</v>
      </c>
      <c r="O116" s="11" t="s">
        <v>192</v>
      </c>
      <c r="P116" s="11" t="s">
        <v>187</v>
      </c>
      <c r="Q116" s="3" t="s">
        <v>187</v>
      </c>
      <c r="R116" s="3">
        <v>270</v>
      </c>
      <c r="S116" s="3" t="s">
        <v>188</v>
      </c>
      <c r="T116" s="12" t="s">
        <v>26</v>
      </c>
      <c r="U116" s="12" t="s">
        <v>222</v>
      </c>
      <c r="V116" s="12"/>
      <c r="W116" s="12" t="s">
        <v>2</v>
      </c>
      <c r="X116" s="8"/>
      <c r="Y116" s="25" t="s">
        <v>69</v>
      </c>
      <c r="Z116" s="401" t="s">
        <v>94</v>
      </c>
      <c r="AA116" s="10" t="s">
        <v>664</v>
      </c>
      <c r="AB116" s="12" t="s">
        <v>8</v>
      </c>
      <c r="AC116" s="27"/>
      <c r="AD116" s="27"/>
      <c r="AE116" s="7"/>
      <c r="AF116" s="7"/>
      <c r="AG116" s="7"/>
      <c r="AH116" s="33"/>
      <c r="AI116" s="7"/>
      <c r="AJ116" s="472"/>
      <c r="AK116" s="27">
        <v>14110</v>
      </c>
      <c r="AL116" s="36">
        <v>0</v>
      </c>
      <c r="AM116" s="36">
        <v>0</v>
      </c>
      <c r="AN116" s="7">
        <f t="shared" si="111"/>
        <v>0</v>
      </c>
      <c r="AO116" s="36"/>
      <c r="AP116" s="36"/>
      <c r="AQ116" s="7"/>
      <c r="AR116" s="36"/>
      <c r="AS116" s="36"/>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v>0</v>
      </c>
      <c r="BW116" s="7">
        <f t="shared" si="123"/>
        <v>0</v>
      </c>
      <c r="BX116" s="7">
        <f t="shared" si="124"/>
        <v>0</v>
      </c>
      <c r="BY116" s="7"/>
      <c r="BZ116" s="7">
        <f t="shared" si="125"/>
        <v>14110</v>
      </c>
      <c r="CA116" s="7">
        <f t="shared" si="126"/>
        <v>14110</v>
      </c>
      <c r="CB116" s="15">
        <f t="shared" si="127"/>
        <v>0</v>
      </c>
      <c r="CC116" s="15">
        <f t="shared" si="128"/>
        <v>0</v>
      </c>
      <c r="CD116" s="489" t="s">
        <v>754</v>
      </c>
      <c r="CE116" s="27"/>
      <c r="CF116" s="7"/>
      <c r="CG116" s="7"/>
      <c r="CH116" s="7"/>
      <c r="CI116" s="27"/>
      <c r="CJ116" s="7"/>
      <c r="CK116" s="7"/>
      <c r="CL116" s="7"/>
      <c r="CM116" s="27"/>
      <c r="CN116" s="27"/>
      <c r="CO116" s="7"/>
      <c r="CP116" s="7"/>
      <c r="CQ116" s="7"/>
      <c r="CR116" s="27"/>
      <c r="CS116" s="27"/>
      <c r="CT116" s="7"/>
      <c r="CU116" s="27"/>
      <c r="CV116" s="27"/>
      <c r="CW116" s="7"/>
      <c r="CX116" s="27"/>
      <c r="CY116" s="27"/>
      <c r="CZ116" s="7"/>
      <c r="DA116" s="27"/>
      <c r="DB116" s="7"/>
      <c r="DC116" s="27"/>
      <c r="DD116" s="7"/>
      <c r="DE116" s="27"/>
      <c r="DF116" s="7"/>
      <c r="DG116" s="27"/>
      <c r="DH116" s="7"/>
      <c r="DI116" s="27"/>
      <c r="DJ116" s="7"/>
      <c r="DK116" s="27"/>
      <c r="DL116" s="7"/>
      <c r="DM116" s="27"/>
      <c r="DN116" s="14"/>
      <c r="DO116" s="14"/>
      <c r="DP116" s="7"/>
      <c r="DQ116" s="7"/>
      <c r="DR116" s="7"/>
      <c r="DS116" s="15"/>
      <c r="DT116" s="15"/>
      <c r="DU116" s="15"/>
      <c r="DV116" s="15"/>
      <c r="DW116" s="7"/>
      <c r="DX116" s="27"/>
      <c r="DY116" s="329"/>
    </row>
    <row r="117" spans="1:129" s="10" customFormat="1" ht="30.75">
      <c r="A117" s="24" t="s">
        <v>84</v>
      </c>
      <c r="B117" s="24" t="s">
        <v>672</v>
      </c>
      <c r="C117" s="24" t="s">
        <v>239</v>
      </c>
      <c r="E117" s="3">
        <v>725020</v>
      </c>
      <c r="F117" s="406">
        <v>4</v>
      </c>
      <c r="G117" s="412" t="s">
        <v>187</v>
      </c>
      <c r="H117" s="406">
        <v>1556</v>
      </c>
      <c r="I117" s="9" t="s">
        <v>32</v>
      </c>
      <c r="J117" s="10" t="s">
        <v>32</v>
      </c>
      <c r="K117" s="3">
        <v>4</v>
      </c>
      <c r="L117" s="11" t="s">
        <v>187</v>
      </c>
      <c r="M117" s="45"/>
      <c r="N117" s="11" t="s">
        <v>186</v>
      </c>
      <c r="O117" s="11" t="s">
        <v>192</v>
      </c>
      <c r="P117" s="11" t="s">
        <v>187</v>
      </c>
      <c r="Q117" s="3" t="s">
        <v>187</v>
      </c>
      <c r="R117" s="3">
        <v>270</v>
      </c>
      <c r="S117" s="3" t="s">
        <v>188</v>
      </c>
      <c r="T117" s="12" t="s">
        <v>26</v>
      </c>
      <c r="U117" s="12" t="s">
        <v>222</v>
      </c>
      <c r="V117" s="12"/>
      <c r="W117" s="12" t="s">
        <v>2</v>
      </c>
      <c r="X117" s="8"/>
      <c r="Y117" s="25" t="s">
        <v>69</v>
      </c>
      <c r="Z117" s="401" t="s">
        <v>94</v>
      </c>
      <c r="AA117" s="10" t="s">
        <v>667</v>
      </c>
      <c r="AB117" s="12" t="s">
        <v>8</v>
      </c>
      <c r="AC117" s="27"/>
      <c r="AD117" s="27"/>
      <c r="AE117" s="7"/>
      <c r="AF117" s="7"/>
      <c r="AG117" s="7"/>
      <c r="AH117" s="33"/>
      <c r="AI117" s="7"/>
      <c r="AJ117" s="472"/>
      <c r="AK117" s="27">
        <v>211190</v>
      </c>
      <c r="AL117" s="36">
        <v>0</v>
      </c>
      <c r="AM117" s="36">
        <v>0</v>
      </c>
      <c r="AN117" s="7">
        <f t="shared" si="111"/>
        <v>0</v>
      </c>
      <c r="AO117" s="36"/>
      <c r="AP117" s="36"/>
      <c r="AQ117" s="7"/>
      <c r="AR117" s="36"/>
      <c r="AS117" s="36"/>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v>0</v>
      </c>
      <c r="BW117" s="7">
        <f t="shared" si="123"/>
        <v>0</v>
      </c>
      <c r="BX117" s="7">
        <f t="shared" si="124"/>
        <v>0</v>
      </c>
      <c r="BY117" s="7"/>
      <c r="BZ117" s="7">
        <f t="shared" si="125"/>
        <v>211190</v>
      </c>
      <c r="CA117" s="7">
        <f t="shared" si="126"/>
        <v>211190</v>
      </c>
      <c r="CB117" s="15">
        <f t="shared" si="127"/>
        <v>0</v>
      </c>
      <c r="CC117" s="15">
        <f t="shared" si="128"/>
        <v>0</v>
      </c>
      <c r="CD117" s="489" t="s">
        <v>755</v>
      </c>
      <c r="CE117" s="27"/>
      <c r="CF117" s="7"/>
      <c r="CG117" s="7"/>
      <c r="CH117" s="7"/>
      <c r="CI117" s="27"/>
      <c r="CJ117" s="7"/>
      <c r="CK117" s="7"/>
      <c r="CL117" s="7"/>
      <c r="CM117" s="27"/>
      <c r="CN117" s="27"/>
      <c r="CO117" s="7"/>
      <c r="CP117" s="7"/>
      <c r="CQ117" s="7"/>
      <c r="CR117" s="27"/>
      <c r="CS117" s="27"/>
      <c r="CT117" s="7"/>
      <c r="CU117" s="27"/>
      <c r="CV117" s="27"/>
      <c r="CW117" s="7"/>
      <c r="CX117" s="27"/>
      <c r="CY117" s="27"/>
      <c r="CZ117" s="7"/>
      <c r="DA117" s="27"/>
      <c r="DB117" s="7"/>
      <c r="DC117" s="27"/>
      <c r="DD117" s="7"/>
      <c r="DE117" s="27"/>
      <c r="DF117" s="7"/>
      <c r="DG117" s="27"/>
      <c r="DH117" s="7"/>
      <c r="DI117" s="27"/>
      <c r="DJ117" s="7"/>
      <c r="DK117" s="27"/>
      <c r="DL117" s="7"/>
      <c r="DM117" s="27"/>
      <c r="DN117" s="14"/>
      <c r="DO117" s="14"/>
      <c r="DP117" s="7"/>
      <c r="DQ117" s="7"/>
      <c r="DR117" s="7"/>
      <c r="DS117" s="15"/>
      <c r="DT117" s="15"/>
      <c r="DU117" s="15"/>
      <c r="DV117" s="15"/>
      <c r="DW117" s="7"/>
      <c r="DX117" s="27"/>
      <c r="DY117" s="329"/>
    </row>
    <row r="118" spans="1:129" s="10" customFormat="1" ht="45.75">
      <c r="A118" s="24" t="s">
        <v>84</v>
      </c>
      <c r="B118" s="24" t="s">
        <v>673</v>
      </c>
      <c r="C118" s="24" t="s">
        <v>653</v>
      </c>
      <c r="D118" s="10" t="s">
        <v>77</v>
      </c>
      <c r="E118" s="3">
        <v>725025</v>
      </c>
      <c r="F118" s="406">
        <v>4</v>
      </c>
      <c r="G118" s="406">
        <v>36</v>
      </c>
      <c r="H118" s="406">
        <v>1538</v>
      </c>
      <c r="I118" s="9" t="s">
        <v>32</v>
      </c>
      <c r="J118" s="10" t="s">
        <v>32</v>
      </c>
      <c r="K118" s="3">
        <v>4</v>
      </c>
      <c r="L118" s="3">
        <v>36</v>
      </c>
      <c r="M118" s="45"/>
      <c r="N118" s="3" t="s">
        <v>186</v>
      </c>
      <c r="O118" s="11" t="s">
        <v>192</v>
      </c>
      <c r="P118" s="11" t="s">
        <v>187</v>
      </c>
      <c r="Q118" s="3" t="s">
        <v>187</v>
      </c>
      <c r="R118" s="3">
        <v>312</v>
      </c>
      <c r="S118" s="11" t="s">
        <v>188</v>
      </c>
      <c r="T118" s="12" t="s">
        <v>78</v>
      </c>
      <c r="U118" s="12"/>
      <c r="V118" s="12" t="s">
        <v>222</v>
      </c>
      <c r="W118" s="12" t="s">
        <v>2</v>
      </c>
      <c r="X118" s="8" t="s">
        <v>58</v>
      </c>
      <c r="Y118" s="25" t="s">
        <v>69</v>
      </c>
      <c r="Z118" s="401">
        <v>35</v>
      </c>
      <c r="AA118" s="10" t="s">
        <v>117</v>
      </c>
      <c r="AB118" s="110" t="s">
        <v>37</v>
      </c>
      <c r="AC118" s="7">
        <v>1500000</v>
      </c>
      <c r="AD118" s="7"/>
      <c r="AE118" s="7">
        <f>AC118+AD118</f>
        <v>1500000</v>
      </c>
      <c r="AF118" s="7">
        <v>500000</v>
      </c>
      <c r="AG118" s="7">
        <f>AE118+AF118</f>
        <v>2000000</v>
      </c>
      <c r="AH118" s="33">
        <v>-2000000</v>
      </c>
      <c r="AI118" s="7">
        <f t="shared" si="150"/>
        <v>0</v>
      </c>
      <c r="AJ118" s="472">
        <v>2000000</v>
      </c>
      <c r="AK118" s="7">
        <f>3000000+5000000-5000000</f>
        <v>3000000</v>
      </c>
      <c r="AL118" s="33">
        <v>0</v>
      </c>
      <c r="AM118" s="33">
        <v>0</v>
      </c>
      <c r="AN118" s="7">
        <f t="shared" si="111"/>
        <v>0</v>
      </c>
      <c r="AO118" s="33"/>
      <c r="AP118" s="33"/>
      <c r="AQ118" s="7">
        <f t="shared" si="112"/>
        <v>0</v>
      </c>
      <c r="AR118" s="33"/>
      <c r="AS118" s="33"/>
      <c r="AT118" s="7">
        <f t="shared" si="113"/>
        <v>0</v>
      </c>
      <c r="AU118" s="7"/>
      <c r="AV118" s="7"/>
      <c r="AW118" s="7">
        <f t="shared" si="114"/>
        <v>0</v>
      </c>
      <c r="AX118" s="7"/>
      <c r="AY118" s="7"/>
      <c r="AZ118" s="7">
        <f t="shared" si="115"/>
        <v>0</v>
      </c>
      <c r="BA118" s="7"/>
      <c r="BB118" s="7"/>
      <c r="BC118" s="7">
        <f t="shared" si="116"/>
        <v>0</v>
      </c>
      <c r="BD118" s="7"/>
      <c r="BE118" s="7"/>
      <c r="BF118" s="7">
        <f t="shared" si="117"/>
        <v>0</v>
      </c>
      <c r="BG118" s="7"/>
      <c r="BH118" s="7"/>
      <c r="BI118" s="7">
        <f t="shared" si="118"/>
        <v>0</v>
      </c>
      <c r="BJ118" s="7"/>
      <c r="BK118" s="7"/>
      <c r="BL118" s="7">
        <f t="shared" si="119"/>
        <v>0</v>
      </c>
      <c r="BM118" s="7"/>
      <c r="BN118" s="7"/>
      <c r="BO118" s="7">
        <f t="shared" si="120"/>
        <v>0</v>
      </c>
      <c r="BP118" s="7"/>
      <c r="BQ118" s="7"/>
      <c r="BR118" s="7">
        <f t="shared" si="121"/>
        <v>0</v>
      </c>
      <c r="BS118" s="7"/>
      <c r="BT118" s="7"/>
      <c r="BU118" s="7">
        <f t="shared" si="122"/>
        <v>0</v>
      </c>
      <c r="BV118" s="7">
        <v>0</v>
      </c>
      <c r="BW118" s="7">
        <f t="shared" si="123"/>
        <v>0</v>
      </c>
      <c r="BX118" s="7">
        <f t="shared" si="124"/>
        <v>0</v>
      </c>
      <c r="BY118" s="7"/>
      <c r="BZ118" s="7">
        <f t="shared" si="125"/>
        <v>3000000</v>
      </c>
      <c r="CA118" s="7">
        <f t="shared" si="126"/>
        <v>3000000</v>
      </c>
      <c r="CB118" s="15">
        <f t="shared" si="127"/>
        <v>0</v>
      </c>
      <c r="CC118" s="15">
        <f t="shared" si="128"/>
        <v>0</v>
      </c>
      <c r="CD118" s="489" t="s">
        <v>756</v>
      </c>
      <c r="CE118" s="7">
        <f>1000000+5000000</f>
        <v>6000000</v>
      </c>
      <c r="CF118" s="7">
        <v>6000000</v>
      </c>
      <c r="CG118" s="7"/>
      <c r="CH118" s="7"/>
      <c r="CI118" s="7"/>
      <c r="CJ118" s="7">
        <f>CI118</f>
        <v>0</v>
      </c>
      <c r="CK118" s="7"/>
      <c r="CL118" s="7">
        <f>CK118</f>
        <v>0</v>
      </c>
      <c r="CM118" s="7"/>
      <c r="CN118" s="7">
        <v>0</v>
      </c>
      <c r="CO118" s="7">
        <f>CM118+CN118</f>
        <v>0</v>
      </c>
      <c r="CP118" s="7">
        <f>CI118+CK118+CM118</f>
        <v>0</v>
      </c>
      <c r="CQ118" s="7">
        <f>CJ118+CL118+CO118</f>
        <v>0</v>
      </c>
      <c r="CR118" s="7"/>
      <c r="CS118" s="7"/>
      <c r="CT118" s="7">
        <f>CR118+CS118</f>
        <v>0</v>
      </c>
      <c r="CU118" s="7"/>
      <c r="CV118" s="7"/>
      <c r="CW118" s="7">
        <f>CU118+CV118</f>
        <v>0</v>
      </c>
      <c r="CX118" s="7"/>
      <c r="CY118" s="7"/>
      <c r="CZ118" s="7">
        <f>CX118+CY118</f>
        <v>0</v>
      </c>
      <c r="DA118" s="7"/>
      <c r="DB118" s="7">
        <f>DA118</f>
        <v>0</v>
      </c>
      <c r="DC118" s="7"/>
      <c r="DD118" s="7">
        <f>DC118</f>
        <v>0</v>
      </c>
      <c r="DE118" s="7"/>
      <c r="DF118" s="7">
        <f>DE118</f>
        <v>0</v>
      </c>
      <c r="DG118" s="7"/>
      <c r="DH118" s="7">
        <f>DG118</f>
        <v>0</v>
      </c>
      <c r="DI118" s="7"/>
      <c r="DJ118" s="7">
        <f>DI118</f>
        <v>0</v>
      </c>
      <c r="DK118" s="7"/>
      <c r="DL118" s="7">
        <f>DK118</f>
        <v>0</v>
      </c>
      <c r="DM118" s="7"/>
      <c r="DN118" s="14">
        <f>CI118+CK118+CM118+CR118+CU118+CX118+DA118+DC118+DE118+DG118+DI118+DK118</f>
        <v>0</v>
      </c>
      <c r="DO118" s="14">
        <f>CJ118+CL118+CO118+CT118+CW118+CZ118</f>
        <v>0</v>
      </c>
      <c r="DP118" s="7"/>
      <c r="DQ118" s="7">
        <f>AG118-DN118</f>
        <v>2000000</v>
      </c>
      <c r="DR118" s="7">
        <f>AG118-DO118</f>
        <v>2000000</v>
      </c>
      <c r="DS118" s="15">
        <f>DN118/AG118</f>
        <v>0</v>
      </c>
      <c r="DT118" s="15">
        <f>DO118/AG118</f>
        <v>0</v>
      </c>
      <c r="DU118" s="7"/>
      <c r="DV118" s="7"/>
      <c r="DW118" s="7"/>
      <c r="DX118" s="27"/>
      <c r="DY118" s="329"/>
    </row>
    <row r="119" spans="1:129" s="10" customFormat="1" ht="30.75">
      <c r="A119" s="24" t="s">
        <v>84</v>
      </c>
      <c r="B119" s="24" t="s">
        <v>673</v>
      </c>
      <c r="C119" s="24" t="s">
        <v>653</v>
      </c>
      <c r="E119" s="3">
        <v>725025</v>
      </c>
      <c r="F119" s="406">
        <v>4</v>
      </c>
      <c r="G119" s="412" t="s">
        <v>187</v>
      </c>
      <c r="H119" s="406">
        <v>1536</v>
      </c>
      <c r="I119" s="9" t="s">
        <v>32</v>
      </c>
      <c r="J119" s="10" t="s">
        <v>32</v>
      </c>
      <c r="K119" s="3">
        <v>4</v>
      </c>
      <c r="L119" s="11" t="s">
        <v>187</v>
      </c>
      <c r="M119" s="45"/>
      <c r="N119" s="11" t="s">
        <v>186</v>
      </c>
      <c r="O119" s="11" t="s">
        <v>192</v>
      </c>
      <c r="P119" s="11" t="s">
        <v>187</v>
      </c>
      <c r="Q119" s="3" t="s">
        <v>187</v>
      </c>
      <c r="R119" s="3">
        <v>250</v>
      </c>
      <c r="S119" s="3" t="s">
        <v>188</v>
      </c>
      <c r="T119" s="12" t="s">
        <v>46</v>
      </c>
      <c r="U119" s="12" t="s">
        <v>222</v>
      </c>
      <c r="V119" s="12"/>
      <c r="W119" s="12" t="s">
        <v>2</v>
      </c>
      <c r="X119" s="8" t="s">
        <v>52</v>
      </c>
      <c r="Y119" s="25" t="s">
        <v>69</v>
      </c>
      <c r="Z119" s="401">
        <v>20</v>
      </c>
      <c r="AA119" s="10" t="s">
        <v>127</v>
      </c>
      <c r="AB119" s="12" t="s">
        <v>8</v>
      </c>
      <c r="AC119" s="27">
        <v>200000</v>
      </c>
      <c r="AD119" s="27"/>
      <c r="AE119" s="7">
        <f>AC119+AD119</f>
        <v>200000</v>
      </c>
      <c r="AF119" s="7"/>
      <c r="AG119" s="7">
        <f>AE119+AF119</f>
        <v>200000</v>
      </c>
      <c r="AH119" s="33"/>
      <c r="AI119" s="7">
        <f t="shared" si="150"/>
        <v>200000</v>
      </c>
      <c r="AJ119" s="472"/>
      <c r="AK119" s="27">
        <v>200000</v>
      </c>
      <c r="AL119" s="36">
        <v>1102.6300000000001</v>
      </c>
      <c r="AM119" s="36">
        <v>0</v>
      </c>
      <c r="AN119" s="7">
        <f t="shared" si="111"/>
        <v>1102.6300000000001</v>
      </c>
      <c r="AO119" s="36"/>
      <c r="AP119" s="36"/>
      <c r="AQ119" s="7">
        <f t="shared" si="112"/>
        <v>0</v>
      </c>
      <c r="AR119" s="36"/>
      <c r="AS119" s="36"/>
      <c r="AT119" s="7">
        <f t="shared" si="113"/>
        <v>0</v>
      </c>
      <c r="AU119" s="7"/>
      <c r="AV119" s="7"/>
      <c r="AW119" s="7">
        <f t="shared" si="114"/>
        <v>0</v>
      </c>
      <c r="AX119" s="7"/>
      <c r="AY119" s="7"/>
      <c r="AZ119" s="7">
        <f t="shared" si="115"/>
        <v>0</v>
      </c>
      <c r="BA119" s="7"/>
      <c r="BB119" s="7"/>
      <c r="BC119" s="7">
        <f t="shared" si="116"/>
        <v>0</v>
      </c>
      <c r="BD119" s="7"/>
      <c r="BE119" s="7"/>
      <c r="BF119" s="7">
        <f t="shared" si="117"/>
        <v>0</v>
      </c>
      <c r="BG119" s="7"/>
      <c r="BH119" s="7"/>
      <c r="BI119" s="7">
        <f t="shared" si="118"/>
        <v>0</v>
      </c>
      <c r="BJ119" s="7"/>
      <c r="BK119" s="7"/>
      <c r="BL119" s="7">
        <f t="shared" si="119"/>
        <v>0</v>
      </c>
      <c r="BM119" s="7"/>
      <c r="BN119" s="7"/>
      <c r="BO119" s="7">
        <f t="shared" si="120"/>
        <v>0</v>
      </c>
      <c r="BP119" s="7"/>
      <c r="BQ119" s="7"/>
      <c r="BR119" s="7">
        <f t="shared" si="121"/>
        <v>0</v>
      </c>
      <c r="BS119" s="7"/>
      <c r="BT119" s="7"/>
      <c r="BU119" s="7">
        <f t="shared" si="122"/>
        <v>0</v>
      </c>
      <c r="BV119" s="7">
        <v>0</v>
      </c>
      <c r="BW119" s="7">
        <f t="shared" si="123"/>
        <v>1102.6300000000001</v>
      </c>
      <c r="BX119" s="7">
        <f t="shared" si="124"/>
        <v>1102.6300000000001</v>
      </c>
      <c r="BY119" s="7"/>
      <c r="BZ119" s="7">
        <f t="shared" si="125"/>
        <v>198897.37</v>
      </c>
      <c r="CA119" s="7">
        <f t="shared" si="126"/>
        <v>198897.37</v>
      </c>
      <c r="CB119" s="15">
        <f t="shared" si="127"/>
        <v>5.5131500000000005E-3</v>
      </c>
      <c r="CC119" s="15">
        <f t="shared" si="128"/>
        <v>5.5131500000000005E-3</v>
      </c>
      <c r="CD119" s="489" t="s">
        <v>757</v>
      </c>
      <c r="CE119" s="27">
        <v>0</v>
      </c>
      <c r="CF119" s="7">
        <v>0</v>
      </c>
      <c r="CG119" s="7"/>
      <c r="CH119" s="7"/>
      <c r="CI119" s="27"/>
      <c r="CJ119" s="7">
        <f>CI119</f>
        <v>0</v>
      </c>
      <c r="CK119" s="27"/>
      <c r="CL119" s="7">
        <f>CK119</f>
        <v>0</v>
      </c>
      <c r="CM119" s="27"/>
      <c r="CN119" s="27"/>
      <c r="CO119" s="7">
        <f>CM119+CN119</f>
        <v>0</v>
      </c>
      <c r="CP119" s="7">
        <f>CI119+CK119+CM119</f>
        <v>0</v>
      </c>
      <c r="CQ119" s="7">
        <f>CJ119+CL119+CO119</f>
        <v>0</v>
      </c>
      <c r="CR119" s="27"/>
      <c r="CS119" s="27"/>
      <c r="CT119" s="7">
        <f>CR119+CS119</f>
        <v>0</v>
      </c>
      <c r="CU119" s="27"/>
      <c r="CV119" s="27"/>
      <c r="CW119" s="7">
        <f>CU119+CV119</f>
        <v>0</v>
      </c>
      <c r="CX119" s="27"/>
      <c r="CY119" s="27"/>
      <c r="CZ119" s="7">
        <f>CX119+CY119</f>
        <v>0</v>
      </c>
      <c r="DA119" s="27"/>
      <c r="DB119" s="7">
        <f>DA119</f>
        <v>0</v>
      </c>
      <c r="DC119" s="27"/>
      <c r="DD119" s="7">
        <f>DC119</f>
        <v>0</v>
      </c>
      <c r="DE119" s="27"/>
      <c r="DF119" s="7">
        <f>DE119</f>
        <v>0</v>
      </c>
      <c r="DG119" s="27"/>
      <c r="DH119" s="7">
        <f>DG119</f>
        <v>0</v>
      </c>
      <c r="DI119" s="27"/>
      <c r="DJ119" s="7">
        <f>DI119</f>
        <v>0</v>
      </c>
      <c r="DK119" s="27"/>
      <c r="DL119" s="7">
        <f>DK119</f>
        <v>0</v>
      </c>
      <c r="DM119" s="27"/>
      <c r="DN119" s="14">
        <f>CI119+CK119+CM119+CR119+CU119+CX119+DA119+DC119+DE119+DG119+DI119+DK119</f>
        <v>0</v>
      </c>
      <c r="DO119" s="14">
        <f>CJ119+CL119+CO119+CT119+CW119+CZ119</f>
        <v>0</v>
      </c>
      <c r="DP119" s="7"/>
      <c r="DQ119" s="7">
        <f>AG119-DN119</f>
        <v>200000</v>
      </c>
      <c r="DR119" s="7">
        <f>AG119-DO119</f>
        <v>200000</v>
      </c>
      <c r="DS119" s="15">
        <f>DN119/AG119</f>
        <v>0</v>
      </c>
      <c r="DT119" s="15">
        <f>DO119/AG119</f>
        <v>0</v>
      </c>
      <c r="DU119" s="15"/>
      <c r="DV119" s="15"/>
      <c r="DW119" s="7"/>
      <c r="DX119" s="27"/>
      <c r="DY119" s="329"/>
    </row>
    <row r="120" spans="1:129" s="249" customFormat="1" ht="15" hidden="1" customHeight="1">
      <c r="A120" s="414" t="s">
        <v>84</v>
      </c>
      <c r="B120" s="414" t="s">
        <v>674</v>
      </c>
      <c r="C120" s="414"/>
      <c r="E120" s="248">
        <v>710030</v>
      </c>
      <c r="F120" s="415">
        <v>4</v>
      </c>
      <c r="G120" s="420" t="s">
        <v>187</v>
      </c>
      <c r="H120" s="415">
        <v>1531</v>
      </c>
      <c r="I120" s="416" t="s">
        <v>32</v>
      </c>
      <c r="J120" s="249" t="s">
        <v>32</v>
      </c>
      <c r="K120" s="248">
        <v>4</v>
      </c>
      <c r="L120" s="250" t="s">
        <v>187</v>
      </c>
      <c r="M120" s="403"/>
      <c r="N120" s="250" t="s">
        <v>186</v>
      </c>
      <c r="O120" s="250" t="s">
        <v>192</v>
      </c>
      <c r="P120" s="250" t="s">
        <v>187</v>
      </c>
      <c r="Q120" s="248" t="s">
        <v>187</v>
      </c>
      <c r="R120" s="248">
        <v>260</v>
      </c>
      <c r="S120" s="248" t="s">
        <v>188</v>
      </c>
      <c r="T120" s="119" t="s">
        <v>260</v>
      </c>
      <c r="U120" s="119" t="s">
        <v>222</v>
      </c>
      <c r="V120" s="119"/>
      <c r="W120" s="119" t="s">
        <v>2</v>
      </c>
      <c r="X120" s="421"/>
      <c r="Y120" s="422" t="s">
        <v>69</v>
      </c>
      <c r="Z120" s="423" t="s">
        <v>94</v>
      </c>
      <c r="AA120" s="249" t="s">
        <v>665</v>
      </c>
      <c r="AB120" s="119" t="s">
        <v>8</v>
      </c>
      <c r="AC120" s="267"/>
      <c r="AD120" s="267"/>
      <c r="AE120" s="124"/>
      <c r="AF120" s="124"/>
      <c r="AG120" s="124">
        <v>0</v>
      </c>
      <c r="AH120" s="418"/>
      <c r="AI120" s="124">
        <f t="shared" si="150"/>
        <v>0</v>
      </c>
      <c r="AJ120" s="344"/>
      <c r="AK120" s="267">
        <v>0</v>
      </c>
      <c r="AL120" s="318"/>
      <c r="AM120" s="318"/>
      <c r="AN120" s="7">
        <f t="shared" si="111"/>
        <v>0</v>
      </c>
      <c r="AO120" s="318"/>
      <c r="AP120" s="318"/>
      <c r="AQ120" s="7">
        <f t="shared" si="112"/>
        <v>0</v>
      </c>
      <c r="AR120" s="318"/>
      <c r="AS120" s="318"/>
      <c r="AT120" s="7">
        <f t="shared" si="113"/>
        <v>0</v>
      </c>
      <c r="AU120" s="7"/>
      <c r="AV120" s="7"/>
      <c r="AW120" s="7">
        <f t="shared" si="114"/>
        <v>0</v>
      </c>
      <c r="AX120" s="7"/>
      <c r="AY120" s="7"/>
      <c r="AZ120" s="7">
        <f t="shared" si="115"/>
        <v>0</v>
      </c>
      <c r="BA120" s="7"/>
      <c r="BB120" s="7"/>
      <c r="BC120" s="7">
        <f t="shared" si="116"/>
        <v>0</v>
      </c>
      <c r="BD120" s="7"/>
      <c r="BE120" s="7"/>
      <c r="BF120" s="7">
        <f t="shared" si="117"/>
        <v>0</v>
      </c>
      <c r="BG120" s="7"/>
      <c r="BH120" s="7"/>
      <c r="BI120" s="7">
        <f t="shared" si="118"/>
        <v>0</v>
      </c>
      <c r="BJ120" s="7"/>
      <c r="BK120" s="7"/>
      <c r="BL120" s="7">
        <f t="shared" si="119"/>
        <v>0</v>
      </c>
      <c r="BM120" s="7"/>
      <c r="BN120" s="7"/>
      <c r="BO120" s="7">
        <f t="shared" si="120"/>
        <v>0</v>
      </c>
      <c r="BP120" s="7"/>
      <c r="BQ120" s="7"/>
      <c r="BR120" s="7">
        <f t="shared" si="121"/>
        <v>0</v>
      </c>
      <c r="BS120" s="7"/>
      <c r="BT120" s="7"/>
      <c r="BU120" s="7">
        <f t="shared" si="122"/>
        <v>0</v>
      </c>
      <c r="BV120" s="7"/>
      <c r="BW120" s="7">
        <f t="shared" si="123"/>
        <v>0</v>
      </c>
      <c r="BX120" s="7">
        <f t="shared" si="124"/>
        <v>0</v>
      </c>
      <c r="BY120" s="7"/>
      <c r="BZ120" s="7">
        <f t="shared" si="125"/>
        <v>0</v>
      </c>
      <c r="CA120" s="7">
        <f t="shared" si="126"/>
        <v>0</v>
      </c>
      <c r="CB120" s="15" t="e">
        <f t="shared" si="127"/>
        <v>#DIV/0!</v>
      </c>
      <c r="CC120" s="15" t="e">
        <f t="shared" si="128"/>
        <v>#DIV/0!</v>
      </c>
      <c r="CD120" s="489"/>
      <c r="CE120" s="267">
        <v>0</v>
      </c>
      <c r="CF120" s="124">
        <v>1800000</v>
      </c>
      <c r="CG120" s="124"/>
      <c r="CH120" s="124"/>
      <c r="CI120" s="267"/>
      <c r="CJ120" s="124"/>
      <c r="CK120" s="267"/>
      <c r="CL120" s="124"/>
      <c r="CM120" s="267"/>
      <c r="CN120" s="267"/>
      <c r="CO120" s="124"/>
      <c r="CP120" s="124"/>
      <c r="CQ120" s="124"/>
      <c r="CR120" s="267"/>
      <c r="CS120" s="267"/>
      <c r="CT120" s="124"/>
      <c r="CU120" s="267"/>
      <c r="CV120" s="267"/>
      <c r="CW120" s="124"/>
      <c r="CX120" s="267"/>
      <c r="CY120" s="267"/>
      <c r="CZ120" s="124"/>
      <c r="DA120" s="267"/>
      <c r="DB120" s="124"/>
      <c r="DC120" s="267"/>
      <c r="DD120" s="124"/>
      <c r="DE120" s="267"/>
      <c r="DF120" s="124"/>
      <c r="DG120" s="267"/>
      <c r="DH120" s="124"/>
      <c r="DI120" s="267"/>
      <c r="DJ120" s="124"/>
      <c r="DK120" s="267"/>
      <c r="DL120" s="124"/>
      <c r="DM120" s="267"/>
      <c r="DN120" s="338"/>
      <c r="DO120" s="338"/>
      <c r="DP120" s="124"/>
      <c r="DQ120" s="124"/>
      <c r="DR120" s="124"/>
      <c r="DS120" s="339"/>
      <c r="DT120" s="339"/>
      <c r="DU120" s="339"/>
      <c r="DV120" s="339"/>
      <c r="DW120" s="124"/>
      <c r="DX120" s="267"/>
      <c r="DY120" s="340"/>
    </row>
    <row r="121" spans="1:129" s="249" customFormat="1" ht="15" hidden="1" customHeight="1">
      <c r="A121" s="414" t="s">
        <v>84</v>
      </c>
      <c r="B121" s="414" t="s">
        <v>675</v>
      </c>
      <c r="C121" s="414"/>
      <c r="E121" s="248">
        <v>725055</v>
      </c>
      <c r="F121" s="415">
        <v>4</v>
      </c>
      <c r="G121" s="420" t="s">
        <v>187</v>
      </c>
      <c r="H121" s="415">
        <v>1542</v>
      </c>
      <c r="I121" s="416" t="s">
        <v>32</v>
      </c>
      <c r="J121" s="249" t="s">
        <v>32</v>
      </c>
      <c r="K121" s="248">
        <v>4</v>
      </c>
      <c r="L121" s="250" t="s">
        <v>187</v>
      </c>
      <c r="M121" s="403"/>
      <c r="N121" s="250" t="s">
        <v>186</v>
      </c>
      <c r="O121" s="250" t="s">
        <v>192</v>
      </c>
      <c r="P121" s="250" t="s">
        <v>187</v>
      </c>
      <c r="Q121" s="248" t="s">
        <v>187</v>
      </c>
      <c r="R121" s="248">
        <v>260</v>
      </c>
      <c r="S121" s="248" t="s">
        <v>188</v>
      </c>
      <c r="T121" s="119" t="s">
        <v>260</v>
      </c>
      <c r="U121" s="119" t="s">
        <v>222</v>
      </c>
      <c r="V121" s="119"/>
      <c r="W121" s="119" t="s">
        <v>2</v>
      </c>
      <c r="X121" s="421"/>
      <c r="Y121" s="422" t="s">
        <v>69</v>
      </c>
      <c r="Z121" s="423" t="s">
        <v>94</v>
      </c>
      <c r="AA121" s="249" t="s">
        <v>414</v>
      </c>
      <c r="AB121" s="119" t="s">
        <v>8</v>
      </c>
      <c r="AC121" s="267"/>
      <c r="AD121" s="267"/>
      <c r="AE121" s="124"/>
      <c r="AF121" s="124"/>
      <c r="AG121" s="124">
        <v>0</v>
      </c>
      <c r="AH121" s="418"/>
      <c r="AI121" s="124">
        <f t="shared" si="150"/>
        <v>0</v>
      </c>
      <c r="AJ121" s="344"/>
      <c r="AK121" s="267">
        <v>0</v>
      </c>
      <c r="AL121" s="318"/>
      <c r="AM121" s="318"/>
      <c r="AN121" s="7">
        <f t="shared" si="111"/>
        <v>0</v>
      </c>
      <c r="AO121" s="318"/>
      <c r="AP121" s="318"/>
      <c r="AQ121" s="7">
        <f t="shared" si="112"/>
        <v>0</v>
      </c>
      <c r="AR121" s="318"/>
      <c r="AS121" s="318"/>
      <c r="AT121" s="7">
        <f t="shared" si="113"/>
        <v>0</v>
      </c>
      <c r="AU121" s="7"/>
      <c r="AV121" s="7"/>
      <c r="AW121" s="7">
        <f t="shared" si="114"/>
        <v>0</v>
      </c>
      <c r="AX121" s="7"/>
      <c r="AY121" s="7"/>
      <c r="AZ121" s="7">
        <f t="shared" si="115"/>
        <v>0</v>
      </c>
      <c r="BA121" s="7"/>
      <c r="BB121" s="7"/>
      <c r="BC121" s="7">
        <f t="shared" si="116"/>
        <v>0</v>
      </c>
      <c r="BD121" s="7"/>
      <c r="BE121" s="7"/>
      <c r="BF121" s="7">
        <f t="shared" si="117"/>
        <v>0</v>
      </c>
      <c r="BG121" s="7"/>
      <c r="BH121" s="7"/>
      <c r="BI121" s="7">
        <f t="shared" si="118"/>
        <v>0</v>
      </c>
      <c r="BJ121" s="7"/>
      <c r="BK121" s="7"/>
      <c r="BL121" s="7">
        <f t="shared" si="119"/>
        <v>0</v>
      </c>
      <c r="BM121" s="7"/>
      <c r="BN121" s="7"/>
      <c r="BO121" s="7">
        <f t="shared" si="120"/>
        <v>0</v>
      </c>
      <c r="BP121" s="7"/>
      <c r="BQ121" s="7"/>
      <c r="BR121" s="7">
        <f t="shared" si="121"/>
        <v>0</v>
      </c>
      <c r="BS121" s="7"/>
      <c r="BT121" s="7"/>
      <c r="BU121" s="7">
        <f t="shared" si="122"/>
        <v>0</v>
      </c>
      <c r="BV121" s="7"/>
      <c r="BW121" s="7">
        <f t="shared" si="123"/>
        <v>0</v>
      </c>
      <c r="BX121" s="7">
        <f t="shared" si="124"/>
        <v>0</v>
      </c>
      <c r="BY121" s="7"/>
      <c r="BZ121" s="7">
        <f t="shared" si="125"/>
        <v>0</v>
      </c>
      <c r="CA121" s="7">
        <f t="shared" si="126"/>
        <v>0</v>
      </c>
      <c r="CB121" s="15" t="e">
        <f t="shared" si="127"/>
        <v>#DIV/0!</v>
      </c>
      <c r="CC121" s="15" t="e">
        <f t="shared" si="128"/>
        <v>#DIV/0!</v>
      </c>
      <c r="CD121" s="489"/>
      <c r="CE121" s="267">
        <v>0</v>
      </c>
      <c r="CF121" s="124">
        <v>800000</v>
      </c>
      <c r="CG121" s="124"/>
      <c r="CH121" s="124"/>
      <c r="CI121" s="267"/>
      <c r="CJ121" s="124"/>
      <c r="CK121" s="267"/>
      <c r="CL121" s="124"/>
      <c r="CM121" s="267"/>
      <c r="CN121" s="267"/>
      <c r="CO121" s="124"/>
      <c r="CP121" s="124"/>
      <c r="CQ121" s="124"/>
      <c r="CR121" s="267"/>
      <c r="CS121" s="267"/>
      <c r="CT121" s="124"/>
      <c r="CU121" s="267"/>
      <c r="CV121" s="267"/>
      <c r="CW121" s="124"/>
      <c r="CX121" s="267"/>
      <c r="CY121" s="267"/>
      <c r="CZ121" s="124"/>
      <c r="DA121" s="267"/>
      <c r="DB121" s="124"/>
      <c r="DC121" s="267"/>
      <c r="DD121" s="124"/>
      <c r="DE121" s="267"/>
      <c r="DF121" s="124"/>
      <c r="DG121" s="267"/>
      <c r="DH121" s="124"/>
      <c r="DI121" s="267"/>
      <c r="DJ121" s="124"/>
      <c r="DK121" s="267"/>
      <c r="DL121" s="124"/>
      <c r="DM121" s="267"/>
      <c r="DN121" s="338"/>
      <c r="DO121" s="338"/>
      <c r="DP121" s="124"/>
      <c r="DQ121" s="124"/>
      <c r="DR121" s="124"/>
      <c r="DS121" s="339"/>
      <c r="DT121" s="339"/>
      <c r="DU121" s="339"/>
      <c r="DV121" s="339"/>
      <c r="DW121" s="124"/>
      <c r="DX121" s="267"/>
      <c r="DY121" s="340"/>
    </row>
    <row r="122" spans="1:129" s="249" customFormat="1" ht="15" hidden="1" customHeight="1">
      <c r="A122" s="414" t="s">
        <v>84</v>
      </c>
      <c r="B122" s="414" t="s">
        <v>675</v>
      </c>
      <c r="C122" s="414"/>
      <c r="E122" s="248">
        <v>725055</v>
      </c>
      <c r="F122" s="415">
        <v>4</v>
      </c>
      <c r="G122" s="420" t="s">
        <v>187</v>
      </c>
      <c r="H122" s="415">
        <v>1543</v>
      </c>
      <c r="I122" s="416" t="s">
        <v>32</v>
      </c>
      <c r="J122" s="249" t="s">
        <v>32</v>
      </c>
      <c r="K122" s="248">
        <v>4</v>
      </c>
      <c r="L122" s="250" t="s">
        <v>187</v>
      </c>
      <c r="M122" s="403"/>
      <c r="N122" s="250" t="s">
        <v>186</v>
      </c>
      <c r="O122" s="250" t="s">
        <v>192</v>
      </c>
      <c r="P122" s="250" t="s">
        <v>187</v>
      </c>
      <c r="Q122" s="248" t="s">
        <v>187</v>
      </c>
      <c r="R122" s="248">
        <v>260</v>
      </c>
      <c r="S122" s="248" t="s">
        <v>188</v>
      </c>
      <c r="T122" s="119" t="s">
        <v>260</v>
      </c>
      <c r="U122" s="119" t="s">
        <v>222</v>
      </c>
      <c r="V122" s="119"/>
      <c r="W122" s="119" t="s">
        <v>2</v>
      </c>
      <c r="X122" s="421"/>
      <c r="Y122" s="422" t="s">
        <v>69</v>
      </c>
      <c r="Z122" s="423" t="s">
        <v>94</v>
      </c>
      <c r="AA122" s="249" t="s">
        <v>415</v>
      </c>
      <c r="AB122" s="119" t="s">
        <v>8</v>
      </c>
      <c r="AC122" s="267"/>
      <c r="AD122" s="267"/>
      <c r="AE122" s="124"/>
      <c r="AF122" s="124"/>
      <c r="AG122" s="124">
        <v>0</v>
      </c>
      <c r="AH122" s="418"/>
      <c r="AI122" s="124">
        <f t="shared" si="150"/>
        <v>0</v>
      </c>
      <c r="AJ122" s="344"/>
      <c r="AK122" s="267">
        <v>0</v>
      </c>
      <c r="AL122" s="318"/>
      <c r="AM122" s="318"/>
      <c r="AN122" s="7">
        <f t="shared" si="111"/>
        <v>0</v>
      </c>
      <c r="AO122" s="318"/>
      <c r="AP122" s="318"/>
      <c r="AQ122" s="7">
        <f t="shared" si="112"/>
        <v>0</v>
      </c>
      <c r="AR122" s="318"/>
      <c r="AS122" s="318"/>
      <c r="AT122" s="7">
        <f t="shared" si="113"/>
        <v>0</v>
      </c>
      <c r="AU122" s="7"/>
      <c r="AV122" s="7"/>
      <c r="AW122" s="7">
        <f t="shared" si="114"/>
        <v>0</v>
      </c>
      <c r="AX122" s="7"/>
      <c r="AY122" s="7"/>
      <c r="AZ122" s="7">
        <f t="shared" si="115"/>
        <v>0</v>
      </c>
      <c r="BA122" s="7"/>
      <c r="BB122" s="7"/>
      <c r="BC122" s="7">
        <f t="shared" si="116"/>
        <v>0</v>
      </c>
      <c r="BD122" s="7"/>
      <c r="BE122" s="7"/>
      <c r="BF122" s="7">
        <f t="shared" si="117"/>
        <v>0</v>
      </c>
      <c r="BG122" s="7"/>
      <c r="BH122" s="7"/>
      <c r="BI122" s="7">
        <f t="shared" si="118"/>
        <v>0</v>
      </c>
      <c r="BJ122" s="7"/>
      <c r="BK122" s="7"/>
      <c r="BL122" s="7">
        <f t="shared" si="119"/>
        <v>0</v>
      </c>
      <c r="BM122" s="7"/>
      <c r="BN122" s="7"/>
      <c r="BO122" s="7">
        <f t="shared" si="120"/>
        <v>0</v>
      </c>
      <c r="BP122" s="7"/>
      <c r="BQ122" s="7"/>
      <c r="BR122" s="7">
        <f t="shared" si="121"/>
        <v>0</v>
      </c>
      <c r="BS122" s="7"/>
      <c r="BT122" s="7"/>
      <c r="BU122" s="7">
        <f t="shared" si="122"/>
        <v>0</v>
      </c>
      <c r="BV122" s="7"/>
      <c r="BW122" s="7">
        <f t="shared" si="123"/>
        <v>0</v>
      </c>
      <c r="BX122" s="7">
        <f t="shared" si="124"/>
        <v>0</v>
      </c>
      <c r="BY122" s="7"/>
      <c r="BZ122" s="7">
        <f t="shared" si="125"/>
        <v>0</v>
      </c>
      <c r="CA122" s="7">
        <f t="shared" si="126"/>
        <v>0</v>
      </c>
      <c r="CB122" s="15" t="e">
        <f t="shared" si="127"/>
        <v>#DIV/0!</v>
      </c>
      <c r="CC122" s="15" t="e">
        <f t="shared" si="128"/>
        <v>#DIV/0!</v>
      </c>
      <c r="CD122" s="489"/>
      <c r="CE122" s="267">
        <v>0</v>
      </c>
      <c r="CF122" s="124">
        <v>500000</v>
      </c>
      <c r="CG122" s="124"/>
      <c r="CH122" s="124"/>
      <c r="CI122" s="267"/>
      <c r="CJ122" s="124"/>
      <c r="CK122" s="267"/>
      <c r="CL122" s="124"/>
      <c r="CM122" s="267"/>
      <c r="CN122" s="267"/>
      <c r="CO122" s="124"/>
      <c r="CP122" s="124"/>
      <c r="CQ122" s="124"/>
      <c r="CR122" s="267"/>
      <c r="CS122" s="267"/>
      <c r="CT122" s="124"/>
      <c r="CU122" s="267"/>
      <c r="CV122" s="267"/>
      <c r="CW122" s="124"/>
      <c r="CX122" s="267"/>
      <c r="CY122" s="267"/>
      <c r="CZ122" s="124"/>
      <c r="DA122" s="267"/>
      <c r="DB122" s="124"/>
      <c r="DC122" s="267"/>
      <c r="DD122" s="124"/>
      <c r="DE122" s="267"/>
      <c r="DF122" s="124"/>
      <c r="DG122" s="267"/>
      <c r="DH122" s="124"/>
      <c r="DI122" s="267"/>
      <c r="DJ122" s="124"/>
      <c r="DK122" s="267"/>
      <c r="DL122" s="124"/>
      <c r="DM122" s="267"/>
      <c r="DN122" s="338"/>
      <c r="DO122" s="338"/>
      <c r="DP122" s="124"/>
      <c r="DQ122" s="124"/>
      <c r="DR122" s="124"/>
      <c r="DS122" s="339"/>
      <c r="DT122" s="339"/>
      <c r="DU122" s="339"/>
      <c r="DV122" s="339"/>
      <c r="DW122" s="124"/>
      <c r="DX122" s="267"/>
      <c r="DY122" s="340"/>
    </row>
    <row r="123" spans="1:129" s="249" customFormat="1" ht="15" hidden="1" customHeight="1">
      <c r="A123" s="414" t="s">
        <v>84</v>
      </c>
      <c r="B123" s="414" t="s">
        <v>673</v>
      </c>
      <c r="C123" s="414"/>
      <c r="E123" s="248">
        <v>725025</v>
      </c>
      <c r="F123" s="415">
        <v>4</v>
      </c>
      <c r="G123" s="420" t="s">
        <v>187</v>
      </c>
      <c r="H123" s="415">
        <v>1537</v>
      </c>
      <c r="I123" s="416" t="s">
        <v>32</v>
      </c>
      <c r="J123" s="249" t="s">
        <v>32</v>
      </c>
      <c r="K123" s="248">
        <v>4</v>
      </c>
      <c r="L123" s="250" t="s">
        <v>187</v>
      </c>
      <c r="M123" s="403"/>
      <c r="N123" s="250" t="s">
        <v>186</v>
      </c>
      <c r="O123" s="250" t="s">
        <v>192</v>
      </c>
      <c r="P123" s="250" t="s">
        <v>187</v>
      </c>
      <c r="Q123" s="248" t="s">
        <v>187</v>
      </c>
      <c r="R123" s="248">
        <v>260</v>
      </c>
      <c r="S123" s="248" t="s">
        <v>188</v>
      </c>
      <c r="T123" s="119" t="s">
        <v>260</v>
      </c>
      <c r="U123" s="119" t="s">
        <v>222</v>
      </c>
      <c r="V123" s="119"/>
      <c r="W123" s="119" t="s">
        <v>2</v>
      </c>
      <c r="X123" s="421"/>
      <c r="Y123" s="422" t="s">
        <v>69</v>
      </c>
      <c r="Z123" s="423" t="s">
        <v>94</v>
      </c>
      <c r="AA123" s="249" t="s">
        <v>416</v>
      </c>
      <c r="AB123" s="119" t="s">
        <v>8</v>
      </c>
      <c r="AC123" s="267"/>
      <c r="AD123" s="267"/>
      <c r="AE123" s="124"/>
      <c r="AF123" s="124"/>
      <c r="AG123" s="124">
        <v>0</v>
      </c>
      <c r="AH123" s="418"/>
      <c r="AI123" s="124">
        <f t="shared" si="150"/>
        <v>0</v>
      </c>
      <c r="AJ123" s="344"/>
      <c r="AK123" s="267">
        <v>0</v>
      </c>
      <c r="AL123" s="318"/>
      <c r="AM123" s="318"/>
      <c r="AN123" s="7">
        <f t="shared" si="111"/>
        <v>0</v>
      </c>
      <c r="AO123" s="318"/>
      <c r="AP123" s="318"/>
      <c r="AQ123" s="7">
        <f t="shared" si="112"/>
        <v>0</v>
      </c>
      <c r="AR123" s="318"/>
      <c r="AS123" s="318"/>
      <c r="AT123" s="7">
        <f t="shared" si="113"/>
        <v>0</v>
      </c>
      <c r="AU123" s="7"/>
      <c r="AV123" s="7"/>
      <c r="AW123" s="7">
        <f t="shared" si="114"/>
        <v>0</v>
      </c>
      <c r="AX123" s="7"/>
      <c r="AY123" s="7"/>
      <c r="AZ123" s="7">
        <f t="shared" si="115"/>
        <v>0</v>
      </c>
      <c r="BA123" s="7"/>
      <c r="BB123" s="7"/>
      <c r="BC123" s="7">
        <f t="shared" si="116"/>
        <v>0</v>
      </c>
      <c r="BD123" s="7"/>
      <c r="BE123" s="7"/>
      <c r="BF123" s="7">
        <f t="shared" si="117"/>
        <v>0</v>
      </c>
      <c r="BG123" s="7"/>
      <c r="BH123" s="7"/>
      <c r="BI123" s="7">
        <f t="shared" si="118"/>
        <v>0</v>
      </c>
      <c r="BJ123" s="7"/>
      <c r="BK123" s="7"/>
      <c r="BL123" s="7">
        <f t="shared" si="119"/>
        <v>0</v>
      </c>
      <c r="BM123" s="7"/>
      <c r="BN123" s="7"/>
      <c r="BO123" s="7">
        <f t="shared" si="120"/>
        <v>0</v>
      </c>
      <c r="BP123" s="7"/>
      <c r="BQ123" s="7"/>
      <c r="BR123" s="7">
        <f t="shared" si="121"/>
        <v>0</v>
      </c>
      <c r="BS123" s="7"/>
      <c r="BT123" s="7"/>
      <c r="BU123" s="7">
        <f t="shared" si="122"/>
        <v>0</v>
      </c>
      <c r="BV123" s="7"/>
      <c r="BW123" s="7">
        <f t="shared" si="123"/>
        <v>0</v>
      </c>
      <c r="BX123" s="7">
        <f t="shared" si="124"/>
        <v>0</v>
      </c>
      <c r="BY123" s="7"/>
      <c r="BZ123" s="7">
        <f t="shared" si="125"/>
        <v>0</v>
      </c>
      <c r="CA123" s="7">
        <f t="shared" si="126"/>
        <v>0</v>
      </c>
      <c r="CB123" s="15" t="e">
        <f t="shared" si="127"/>
        <v>#DIV/0!</v>
      </c>
      <c r="CC123" s="15" t="e">
        <f t="shared" si="128"/>
        <v>#DIV/0!</v>
      </c>
      <c r="CD123" s="489"/>
      <c r="CE123" s="267">
        <v>0</v>
      </c>
      <c r="CF123" s="124">
        <v>200000</v>
      </c>
      <c r="CG123" s="124"/>
      <c r="CH123" s="124"/>
      <c r="CI123" s="267"/>
      <c r="CJ123" s="124"/>
      <c r="CK123" s="267"/>
      <c r="CL123" s="124"/>
      <c r="CM123" s="267"/>
      <c r="CN123" s="267"/>
      <c r="CO123" s="124"/>
      <c r="CP123" s="124"/>
      <c r="CQ123" s="124"/>
      <c r="CR123" s="267"/>
      <c r="CS123" s="267"/>
      <c r="CT123" s="124"/>
      <c r="CU123" s="267"/>
      <c r="CV123" s="267"/>
      <c r="CW123" s="124"/>
      <c r="CX123" s="267"/>
      <c r="CY123" s="267"/>
      <c r="CZ123" s="124"/>
      <c r="DA123" s="267"/>
      <c r="DB123" s="124"/>
      <c r="DC123" s="267"/>
      <c r="DD123" s="124"/>
      <c r="DE123" s="267"/>
      <c r="DF123" s="124"/>
      <c r="DG123" s="267"/>
      <c r="DH123" s="124"/>
      <c r="DI123" s="267"/>
      <c r="DJ123" s="124"/>
      <c r="DK123" s="267"/>
      <c r="DL123" s="124"/>
      <c r="DM123" s="267"/>
      <c r="DN123" s="338"/>
      <c r="DO123" s="338"/>
      <c r="DP123" s="124"/>
      <c r="DQ123" s="124"/>
      <c r="DR123" s="124"/>
      <c r="DS123" s="339"/>
      <c r="DT123" s="339"/>
      <c r="DU123" s="339"/>
      <c r="DV123" s="339"/>
      <c r="DW123" s="124"/>
      <c r="DX123" s="267"/>
      <c r="DY123" s="340"/>
    </row>
    <row r="124" spans="1:129" s="249" customFormat="1" ht="15" hidden="1" customHeight="1">
      <c r="A124" s="414" t="s">
        <v>84</v>
      </c>
      <c r="B124" s="414" t="s">
        <v>673</v>
      </c>
      <c r="C124" s="414"/>
      <c r="E124" s="248">
        <v>725025</v>
      </c>
      <c r="F124" s="415">
        <v>4</v>
      </c>
      <c r="G124" s="420" t="s">
        <v>187</v>
      </c>
      <c r="H124" s="415">
        <v>1538</v>
      </c>
      <c r="I124" s="416" t="s">
        <v>32</v>
      </c>
      <c r="J124" s="249" t="s">
        <v>32</v>
      </c>
      <c r="K124" s="248">
        <v>4</v>
      </c>
      <c r="L124" s="250" t="s">
        <v>187</v>
      </c>
      <c r="M124" s="403"/>
      <c r="N124" s="250" t="s">
        <v>186</v>
      </c>
      <c r="O124" s="250" t="s">
        <v>192</v>
      </c>
      <c r="P124" s="250" t="s">
        <v>187</v>
      </c>
      <c r="Q124" s="248" t="s">
        <v>187</v>
      </c>
      <c r="R124" s="248">
        <v>260</v>
      </c>
      <c r="S124" s="248" t="s">
        <v>188</v>
      </c>
      <c r="T124" s="119" t="s">
        <v>260</v>
      </c>
      <c r="U124" s="119" t="s">
        <v>222</v>
      </c>
      <c r="V124" s="119"/>
      <c r="W124" s="119" t="s">
        <v>2</v>
      </c>
      <c r="X124" s="421"/>
      <c r="Y124" s="422" t="s">
        <v>69</v>
      </c>
      <c r="Z124" s="423" t="s">
        <v>94</v>
      </c>
      <c r="AA124" s="249" t="s">
        <v>417</v>
      </c>
      <c r="AB124" s="119" t="s">
        <v>8</v>
      </c>
      <c r="AC124" s="267"/>
      <c r="AD124" s="267"/>
      <c r="AE124" s="124"/>
      <c r="AF124" s="124"/>
      <c r="AG124" s="124">
        <v>0</v>
      </c>
      <c r="AH124" s="418"/>
      <c r="AI124" s="124">
        <f t="shared" si="150"/>
        <v>0</v>
      </c>
      <c r="AJ124" s="344"/>
      <c r="AK124" s="267">
        <v>0</v>
      </c>
      <c r="AL124" s="318"/>
      <c r="AM124" s="318"/>
      <c r="AN124" s="7">
        <f t="shared" si="111"/>
        <v>0</v>
      </c>
      <c r="AO124" s="318"/>
      <c r="AP124" s="318"/>
      <c r="AQ124" s="7">
        <f t="shared" si="112"/>
        <v>0</v>
      </c>
      <c r="AR124" s="318"/>
      <c r="AS124" s="318"/>
      <c r="AT124" s="7">
        <f t="shared" si="113"/>
        <v>0</v>
      </c>
      <c r="AU124" s="7"/>
      <c r="AV124" s="7"/>
      <c r="AW124" s="7">
        <f t="shared" si="114"/>
        <v>0</v>
      </c>
      <c r="AX124" s="7"/>
      <c r="AY124" s="7"/>
      <c r="AZ124" s="7">
        <f t="shared" si="115"/>
        <v>0</v>
      </c>
      <c r="BA124" s="7"/>
      <c r="BB124" s="7"/>
      <c r="BC124" s="7">
        <f t="shared" si="116"/>
        <v>0</v>
      </c>
      <c r="BD124" s="7"/>
      <c r="BE124" s="7"/>
      <c r="BF124" s="7">
        <f t="shared" si="117"/>
        <v>0</v>
      </c>
      <c r="BG124" s="7"/>
      <c r="BH124" s="7"/>
      <c r="BI124" s="7">
        <f t="shared" si="118"/>
        <v>0</v>
      </c>
      <c r="BJ124" s="7"/>
      <c r="BK124" s="7"/>
      <c r="BL124" s="7">
        <f t="shared" si="119"/>
        <v>0</v>
      </c>
      <c r="BM124" s="7"/>
      <c r="BN124" s="7"/>
      <c r="BO124" s="7">
        <f t="shared" si="120"/>
        <v>0</v>
      </c>
      <c r="BP124" s="7"/>
      <c r="BQ124" s="7"/>
      <c r="BR124" s="7">
        <f t="shared" si="121"/>
        <v>0</v>
      </c>
      <c r="BS124" s="7"/>
      <c r="BT124" s="7"/>
      <c r="BU124" s="7">
        <f t="shared" si="122"/>
        <v>0</v>
      </c>
      <c r="BV124" s="7"/>
      <c r="BW124" s="7">
        <f t="shared" si="123"/>
        <v>0</v>
      </c>
      <c r="BX124" s="7">
        <f t="shared" si="124"/>
        <v>0</v>
      </c>
      <c r="BY124" s="7"/>
      <c r="BZ124" s="7">
        <f t="shared" si="125"/>
        <v>0</v>
      </c>
      <c r="CA124" s="7">
        <f t="shared" si="126"/>
        <v>0</v>
      </c>
      <c r="CB124" s="15" t="e">
        <f t="shared" si="127"/>
        <v>#DIV/0!</v>
      </c>
      <c r="CC124" s="15" t="e">
        <f t="shared" si="128"/>
        <v>#DIV/0!</v>
      </c>
      <c r="CD124" s="489"/>
      <c r="CE124" s="267">
        <v>0</v>
      </c>
      <c r="CF124" s="124">
        <v>1000000</v>
      </c>
      <c r="CG124" s="124"/>
      <c r="CH124" s="124"/>
      <c r="CI124" s="267"/>
      <c r="CJ124" s="124"/>
      <c r="CK124" s="267"/>
      <c r="CL124" s="124"/>
      <c r="CM124" s="267"/>
      <c r="CN124" s="267"/>
      <c r="CO124" s="124"/>
      <c r="CP124" s="124"/>
      <c r="CQ124" s="124"/>
      <c r="CR124" s="267"/>
      <c r="CS124" s="267"/>
      <c r="CT124" s="124"/>
      <c r="CU124" s="267"/>
      <c r="CV124" s="267"/>
      <c r="CW124" s="124"/>
      <c r="CX124" s="267"/>
      <c r="CY124" s="267"/>
      <c r="CZ124" s="124"/>
      <c r="DA124" s="267"/>
      <c r="DB124" s="124"/>
      <c r="DC124" s="267"/>
      <c r="DD124" s="124"/>
      <c r="DE124" s="267"/>
      <c r="DF124" s="124"/>
      <c r="DG124" s="267"/>
      <c r="DH124" s="124"/>
      <c r="DI124" s="267"/>
      <c r="DJ124" s="124"/>
      <c r="DK124" s="267"/>
      <c r="DL124" s="124"/>
      <c r="DM124" s="267"/>
      <c r="DN124" s="338"/>
      <c r="DO124" s="338"/>
      <c r="DP124" s="124"/>
      <c r="DQ124" s="124"/>
      <c r="DR124" s="124"/>
      <c r="DS124" s="339"/>
      <c r="DT124" s="339"/>
      <c r="DU124" s="339"/>
      <c r="DV124" s="339"/>
      <c r="DW124" s="124"/>
      <c r="DX124" s="267"/>
      <c r="DY124" s="340"/>
    </row>
    <row r="125" spans="1:129" s="249" customFormat="1" ht="15" hidden="1" customHeight="1">
      <c r="A125" s="414" t="s">
        <v>84</v>
      </c>
      <c r="B125" s="414" t="s">
        <v>671</v>
      </c>
      <c r="C125" s="414"/>
      <c r="E125" s="248">
        <v>725010</v>
      </c>
      <c r="F125" s="415">
        <v>4</v>
      </c>
      <c r="G125" s="420" t="s">
        <v>187</v>
      </c>
      <c r="H125" s="415">
        <v>1532</v>
      </c>
      <c r="I125" s="416" t="s">
        <v>32</v>
      </c>
      <c r="J125" s="249" t="s">
        <v>32</v>
      </c>
      <c r="K125" s="248">
        <v>4</v>
      </c>
      <c r="L125" s="250" t="s">
        <v>187</v>
      </c>
      <c r="M125" s="403"/>
      <c r="N125" s="250" t="s">
        <v>186</v>
      </c>
      <c r="O125" s="250" t="s">
        <v>192</v>
      </c>
      <c r="P125" s="250" t="s">
        <v>187</v>
      </c>
      <c r="Q125" s="248" t="s">
        <v>187</v>
      </c>
      <c r="R125" s="248">
        <v>260</v>
      </c>
      <c r="S125" s="248" t="s">
        <v>188</v>
      </c>
      <c r="T125" s="119" t="s">
        <v>260</v>
      </c>
      <c r="U125" s="119" t="s">
        <v>222</v>
      </c>
      <c r="V125" s="119"/>
      <c r="W125" s="119" t="s">
        <v>2</v>
      </c>
      <c r="X125" s="421"/>
      <c r="Y125" s="422" t="s">
        <v>69</v>
      </c>
      <c r="Z125" s="423" t="s">
        <v>94</v>
      </c>
      <c r="AA125" s="249" t="s">
        <v>418</v>
      </c>
      <c r="AB125" s="119" t="s">
        <v>8</v>
      </c>
      <c r="AC125" s="267"/>
      <c r="AD125" s="267"/>
      <c r="AE125" s="124"/>
      <c r="AF125" s="124"/>
      <c r="AG125" s="124">
        <v>0</v>
      </c>
      <c r="AH125" s="418"/>
      <c r="AI125" s="124">
        <f t="shared" si="150"/>
        <v>0</v>
      </c>
      <c r="AJ125" s="344"/>
      <c r="AK125" s="267">
        <v>0</v>
      </c>
      <c r="AL125" s="318"/>
      <c r="AM125" s="318"/>
      <c r="AN125" s="7">
        <f t="shared" si="111"/>
        <v>0</v>
      </c>
      <c r="AO125" s="318"/>
      <c r="AP125" s="318"/>
      <c r="AQ125" s="7">
        <f t="shared" si="112"/>
        <v>0</v>
      </c>
      <c r="AR125" s="318"/>
      <c r="AS125" s="318"/>
      <c r="AT125" s="7">
        <f t="shared" si="113"/>
        <v>0</v>
      </c>
      <c r="AU125" s="7"/>
      <c r="AV125" s="7"/>
      <c r="AW125" s="7">
        <f t="shared" si="114"/>
        <v>0</v>
      </c>
      <c r="AX125" s="7"/>
      <c r="AY125" s="7"/>
      <c r="AZ125" s="7">
        <f t="shared" si="115"/>
        <v>0</v>
      </c>
      <c r="BA125" s="7"/>
      <c r="BB125" s="7"/>
      <c r="BC125" s="7">
        <f t="shared" si="116"/>
        <v>0</v>
      </c>
      <c r="BD125" s="7"/>
      <c r="BE125" s="7"/>
      <c r="BF125" s="7">
        <f t="shared" si="117"/>
        <v>0</v>
      </c>
      <c r="BG125" s="7"/>
      <c r="BH125" s="7"/>
      <c r="BI125" s="7">
        <f t="shared" si="118"/>
        <v>0</v>
      </c>
      <c r="BJ125" s="7"/>
      <c r="BK125" s="7"/>
      <c r="BL125" s="7">
        <f t="shared" si="119"/>
        <v>0</v>
      </c>
      <c r="BM125" s="7"/>
      <c r="BN125" s="7"/>
      <c r="BO125" s="7">
        <f t="shared" si="120"/>
        <v>0</v>
      </c>
      <c r="BP125" s="7"/>
      <c r="BQ125" s="7"/>
      <c r="BR125" s="7">
        <f t="shared" si="121"/>
        <v>0</v>
      </c>
      <c r="BS125" s="7"/>
      <c r="BT125" s="7"/>
      <c r="BU125" s="7">
        <f t="shared" si="122"/>
        <v>0</v>
      </c>
      <c r="BV125" s="7"/>
      <c r="BW125" s="7">
        <f t="shared" si="123"/>
        <v>0</v>
      </c>
      <c r="BX125" s="7">
        <f t="shared" si="124"/>
        <v>0</v>
      </c>
      <c r="BY125" s="7"/>
      <c r="BZ125" s="7">
        <f t="shared" si="125"/>
        <v>0</v>
      </c>
      <c r="CA125" s="7">
        <f t="shared" si="126"/>
        <v>0</v>
      </c>
      <c r="CB125" s="15" t="e">
        <f t="shared" si="127"/>
        <v>#DIV/0!</v>
      </c>
      <c r="CC125" s="15" t="e">
        <f t="shared" si="128"/>
        <v>#DIV/0!</v>
      </c>
      <c r="CD125" s="489"/>
      <c r="CE125" s="267">
        <v>0</v>
      </c>
      <c r="CF125" s="124">
        <v>2000000</v>
      </c>
      <c r="CG125" s="124"/>
      <c r="CH125" s="124"/>
      <c r="CI125" s="267"/>
      <c r="CJ125" s="124"/>
      <c r="CK125" s="267"/>
      <c r="CL125" s="124"/>
      <c r="CM125" s="267"/>
      <c r="CN125" s="267"/>
      <c r="CO125" s="124"/>
      <c r="CP125" s="124"/>
      <c r="CQ125" s="124"/>
      <c r="CR125" s="267"/>
      <c r="CS125" s="267"/>
      <c r="CT125" s="124"/>
      <c r="CU125" s="267"/>
      <c r="CV125" s="267"/>
      <c r="CW125" s="124"/>
      <c r="CX125" s="267"/>
      <c r="CY125" s="267"/>
      <c r="CZ125" s="124"/>
      <c r="DA125" s="267"/>
      <c r="DB125" s="124"/>
      <c r="DC125" s="267"/>
      <c r="DD125" s="124"/>
      <c r="DE125" s="267"/>
      <c r="DF125" s="124"/>
      <c r="DG125" s="267"/>
      <c r="DH125" s="124"/>
      <c r="DI125" s="267"/>
      <c r="DJ125" s="124"/>
      <c r="DK125" s="267"/>
      <c r="DL125" s="124"/>
      <c r="DM125" s="267"/>
      <c r="DN125" s="338"/>
      <c r="DO125" s="338"/>
      <c r="DP125" s="124"/>
      <c r="DQ125" s="124"/>
      <c r="DR125" s="124"/>
      <c r="DS125" s="339"/>
      <c r="DT125" s="339"/>
      <c r="DU125" s="339"/>
      <c r="DV125" s="339"/>
      <c r="DW125" s="124"/>
      <c r="DX125" s="267"/>
      <c r="DY125" s="340"/>
    </row>
    <row r="126" spans="1:129" s="249" customFormat="1" ht="15" hidden="1" customHeight="1">
      <c r="A126" s="414" t="s">
        <v>84</v>
      </c>
      <c r="B126" s="414" t="s">
        <v>673</v>
      </c>
      <c r="C126" s="414"/>
      <c r="E126" s="248">
        <v>725025</v>
      </c>
      <c r="F126" s="415">
        <v>4</v>
      </c>
      <c r="G126" s="420" t="s">
        <v>187</v>
      </c>
      <c r="H126" s="415">
        <v>1539</v>
      </c>
      <c r="I126" s="416" t="s">
        <v>32</v>
      </c>
      <c r="J126" s="249" t="s">
        <v>32</v>
      </c>
      <c r="K126" s="248">
        <v>4</v>
      </c>
      <c r="L126" s="250" t="s">
        <v>187</v>
      </c>
      <c r="M126" s="403"/>
      <c r="N126" s="250" t="s">
        <v>186</v>
      </c>
      <c r="O126" s="250" t="s">
        <v>192</v>
      </c>
      <c r="P126" s="250" t="s">
        <v>187</v>
      </c>
      <c r="Q126" s="248" t="s">
        <v>187</v>
      </c>
      <c r="R126" s="248">
        <v>250</v>
      </c>
      <c r="S126" s="248" t="s">
        <v>188</v>
      </c>
      <c r="T126" s="119" t="s">
        <v>46</v>
      </c>
      <c r="U126" s="119" t="s">
        <v>222</v>
      </c>
      <c r="V126" s="119"/>
      <c r="W126" s="119" t="s">
        <v>2</v>
      </c>
      <c r="X126" s="421"/>
      <c r="Y126" s="422" t="s">
        <v>69</v>
      </c>
      <c r="Z126" s="423">
        <v>27</v>
      </c>
      <c r="AA126" s="249" t="s">
        <v>419</v>
      </c>
      <c r="AB126" s="119" t="s">
        <v>8</v>
      </c>
      <c r="AC126" s="267"/>
      <c r="AD126" s="267"/>
      <c r="AE126" s="124"/>
      <c r="AF126" s="124"/>
      <c r="AG126" s="124">
        <v>0</v>
      </c>
      <c r="AH126" s="418"/>
      <c r="AI126" s="124">
        <f t="shared" si="150"/>
        <v>0</v>
      </c>
      <c r="AJ126" s="344"/>
      <c r="AK126" s="267">
        <v>0</v>
      </c>
      <c r="AL126" s="318"/>
      <c r="AM126" s="318"/>
      <c r="AN126" s="7">
        <f t="shared" si="111"/>
        <v>0</v>
      </c>
      <c r="AO126" s="318"/>
      <c r="AP126" s="318"/>
      <c r="AQ126" s="7">
        <f t="shared" si="112"/>
        <v>0</v>
      </c>
      <c r="AR126" s="318"/>
      <c r="AS126" s="318"/>
      <c r="AT126" s="7">
        <f t="shared" si="113"/>
        <v>0</v>
      </c>
      <c r="AU126" s="7"/>
      <c r="AV126" s="7"/>
      <c r="AW126" s="7">
        <f t="shared" si="114"/>
        <v>0</v>
      </c>
      <c r="AX126" s="7"/>
      <c r="AY126" s="7"/>
      <c r="AZ126" s="7">
        <f t="shared" si="115"/>
        <v>0</v>
      </c>
      <c r="BA126" s="7"/>
      <c r="BB126" s="7"/>
      <c r="BC126" s="7">
        <f t="shared" si="116"/>
        <v>0</v>
      </c>
      <c r="BD126" s="7"/>
      <c r="BE126" s="7"/>
      <c r="BF126" s="7">
        <f t="shared" si="117"/>
        <v>0</v>
      </c>
      <c r="BG126" s="7"/>
      <c r="BH126" s="7"/>
      <c r="BI126" s="7">
        <f t="shared" si="118"/>
        <v>0</v>
      </c>
      <c r="BJ126" s="7"/>
      <c r="BK126" s="7"/>
      <c r="BL126" s="7">
        <f t="shared" si="119"/>
        <v>0</v>
      </c>
      <c r="BM126" s="7"/>
      <c r="BN126" s="7"/>
      <c r="BO126" s="7">
        <f t="shared" si="120"/>
        <v>0</v>
      </c>
      <c r="BP126" s="7"/>
      <c r="BQ126" s="7"/>
      <c r="BR126" s="7">
        <f t="shared" si="121"/>
        <v>0</v>
      </c>
      <c r="BS126" s="7"/>
      <c r="BT126" s="7"/>
      <c r="BU126" s="7">
        <f t="shared" si="122"/>
        <v>0</v>
      </c>
      <c r="BV126" s="7"/>
      <c r="BW126" s="7">
        <f t="shared" si="123"/>
        <v>0</v>
      </c>
      <c r="BX126" s="7">
        <f t="shared" si="124"/>
        <v>0</v>
      </c>
      <c r="BY126" s="7"/>
      <c r="BZ126" s="7">
        <f t="shared" si="125"/>
        <v>0</v>
      </c>
      <c r="CA126" s="7">
        <f t="shared" si="126"/>
        <v>0</v>
      </c>
      <c r="CB126" s="15" t="e">
        <f t="shared" si="127"/>
        <v>#DIV/0!</v>
      </c>
      <c r="CC126" s="15" t="e">
        <f t="shared" si="128"/>
        <v>#DIV/0!</v>
      </c>
      <c r="CD126" s="489"/>
      <c r="CE126" s="267">
        <v>0</v>
      </c>
      <c r="CF126" s="124">
        <v>200000</v>
      </c>
      <c r="CG126" s="124"/>
      <c r="CH126" s="124"/>
      <c r="CI126" s="267"/>
      <c r="CJ126" s="124"/>
      <c r="CK126" s="267"/>
      <c r="CL126" s="124"/>
      <c r="CM126" s="267"/>
      <c r="CN126" s="267"/>
      <c r="CO126" s="124"/>
      <c r="CP126" s="124"/>
      <c r="CQ126" s="124"/>
      <c r="CR126" s="267"/>
      <c r="CS126" s="267"/>
      <c r="CT126" s="124"/>
      <c r="CU126" s="267"/>
      <c r="CV126" s="267"/>
      <c r="CW126" s="124"/>
      <c r="CX126" s="267"/>
      <c r="CY126" s="267"/>
      <c r="CZ126" s="124"/>
      <c r="DA126" s="267"/>
      <c r="DB126" s="124"/>
      <c r="DC126" s="267"/>
      <c r="DD126" s="124"/>
      <c r="DE126" s="267"/>
      <c r="DF126" s="124"/>
      <c r="DG126" s="267"/>
      <c r="DH126" s="124"/>
      <c r="DI126" s="267"/>
      <c r="DJ126" s="124"/>
      <c r="DK126" s="267"/>
      <c r="DL126" s="124"/>
      <c r="DM126" s="267"/>
      <c r="DN126" s="338"/>
      <c r="DO126" s="338"/>
      <c r="DP126" s="124"/>
      <c r="DQ126" s="124"/>
      <c r="DR126" s="124"/>
      <c r="DS126" s="339"/>
      <c r="DT126" s="339"/>
      <c r="DU126" s="339"/>
      <c r="DV126" s="339"/>
      <c r="DW126" s="124"/>
      <c r="DX126" s="267"/>
      <c r="DY126" s="340"/>
    </row>
    <row r="127" spans="1:129" s="249" customFormat="1" ht="15" hidden="1" customHeight="1">
      <c r="A127" s="414" t="s">
        <v>84</v>
      </c>
      <c r="B127" s="414" t="s">
        <v>676</v>
      </c>
      <c r="C127" s="414"/>
      <c r="E127" s="248">
        <v>725035</v>
      </c>
      <c r="F127" s="415">
        <v>4</v>
      </c>
      <c r="G127" s="420" t="s">
        <v>187</v>
      </c>
      <c r="H127" s="415">
        <v>1540</v>
      </c>
      <c r="I127" s="416" t="s">
        <v>32</v>
      </c>
      <c r="J127" s="249" t="s">
        <v>32</v>
      </c>
      <c r="K127" s="248">
        <v>4</v>
      </c>
      <c r="L127" s="250" t="s">
        <v>187</v>
      </c>
      <c r="M127" s="403"/>
      <c r="N127" s="250" t="s">
        <v>186</v>
      </c>
      <c r="O127" s="250" t="s">
        <v>192</v>
      </c>
      <c r="P127" s="250" t="s">
        <v>187</v>
      </c>
      <c r="Q127" s="248" t="s">
        <v>187</v>
      </c>
      <c r="R127" s="248">
        <v>260</v>
      </c>
      <c r="S127" s="248" t="s">
        <v>188</v>
      </c>
      <c r="T127" s="119" t="s">
        <v>260</v>
      </c>
      <c r="U127" s="119" t="s">
        <v>222</v>
      </c>
      <c r="V127" s="119"/>
      <c r="W127" s="119" t="s">
        <v>2</v>
      </c>
      <c r="X127" s="421"/>
      <c r="Y127" s="422" t="s">
        <v>69</v>
      </c>
      <c r="Z127" s="423" t="s">
        <v>581</v>
      </c>
      <c r="AA127" s="249" t="s">
        <v>420</v>
      </c>
      <c r="AB127" s="119" t="s">
        <v>8</v>
      </c>
      <c r="AC127" s="267"/>
      <c r="AD127" s="267"/>
      <c r="AE127" s="124"/>
      <c r="AF127" s="124"/>
      <c r="AG127" s="124">
        <v>0</v>
      </c>
      <c r="AH127" s="418"/>
      <c r="AI127" s="124">
        <f t="shared" si="150"/>
        <v>0</v>
      </c>
      <c r="AJ127" s="344"/>
      <c r="AK127" s="267">
        <v>0</v>
      </c>
      <c r="AL127" s="318"/>
      <c r="AM127" s="318"/>
      <c r="AN127" s="7">
        <f t="shared" si="111"/>
        <v>0</v>
      </c>
      <c r="AO127" s="318"/>
      <c r="AP127" s="318"/>
      <c r="AQ127" s="7">
        <f t="shared" si="112"/>
        <v>0</v>
      </c>
      <c r="AR127" s="318"/>
      <c r="AS127" s="318"/>
      <c r="AT127" s="7">
        <f t="shared" si="113"/>
        <v>0</v>
      </c>
      <c r="AU127" s="7"/>
      <c r="AV127" s="7"/>
      <c r="AW127" s="7">
        <f t="shared" si="114"/>
        <v>0</v>
      </c>
      <c r="AX127" s="7"/>
      <c r="AY127" s="7"/>
      <c r="AZ127" s="7">
        <f t="shared" si="115"/>
        <v>0</v>
      </c>
      <c r="BA127" s="7"/>
      <c r="BB127" s="7"/>
      <c r="BC127" s="7">
        <f t="shared" si="116"/>
        <v>0</v>
      </c>
      <c r="BD127" s="7"/>
      <c r="BE127" s="7"/>
      <c r="BF127" s="7">
        <f t="shared" si="117"/>
        <v>0</v>
      </c>
      <c r="BG127" s="7"/>
      <c r="BH127" s="7"/>
      <c r="BI127" s="7">
        <f t="shared" si="118"/>
        <v>0</v>
      </c>
      <c r="BJ127" s="7"/>
      <c r="BK127" s="7"/>
      <c r="BL127" s="7">
        <f t="shared" si="119"/>
        <v>0</v>
      </c>
      <c r="BM127" s="7"/>
      <c r="BN127" s="7"/>
      <c r="BO127" s="7">
        <f t="shared" si="120"/>
        <v>0</v>
      </c>
      <c r="BP127" s="7"/>
      <c r="BQ127" s="7"/>
      <c r="BR127" s="7">
        <f t="shared" si="121"/>
        <v>0</v>
      </c>
      <c r="BS127" s="7"/>
      <c r="BT127" s="7"/>
      <c r="BU127" s="7">
        <f t="shared" si="122"/>
        <v>0</v>
      </c>
      <c r="BV127" s="7"/>
      <c r="BW127" s="7">
        <f t="shared" si="123"/>
        <v>0</v>
      </c>
      <c r="BX127" s="7">
        <f t="shared" si="124"/>
        <v>0</v>
      </c>
      <c r="BY127" s="7"/>
      <c r="BZ127" s="7">
        <f t="shared" si="125"/>
        <v>0</v>
      </c>
      <c r="CA127" s="7">
        <f t="shared" si="126"/>
        <v>0</v>
      </c>
      <c r="CB127" s="15" t="e">
        <f t="shared" si="127"/>
        <v>#DIV/0!</v>
      </c>
      <c r="CC127" s="15" t="e">
        <f t="shared" si="128"/>
        <v>#DIV/0!</v>
      </c>
      <c r="CD127" s="489"/>
      <c r="CE127" s="267">
        <v>0</v>
      </c>
      <c r="CF127" s="124">
        <v>2000000</v>
      </c>
      <c r="CG127" s="124"/>
      <c r="CH127" s="124"/>
      <c r="CI127" s="267"/>
      <c r="CJ127" s="124"/>
      <c r="CK127" s="267"/>
      <c r="CL127" s="124"/>
      <c r="CM127" s="267"/>
      <c r="CN127" s="267"/>
      <c r="CO127" s="124"/>
      <c r="CP127" s="124"/>
      <c r="CQ127" s="124"/>
      <c r="CR127" s="267"/>
      <c r="CS127" s="267"/>
      <c r="CT127" s="124"/>
      <c r="CU127" s="267"/>
      <c r="CV127" s="267"/>
      <c r="CW127" s="124"/>
      <c r="CX127" s="267"/>
      <c r="CY127" s="267"/>
      <c r="CZ127" s="124"/>
      <c r="DA127" s="267"/>
      <c r="DB127" s="124"/>
      <c r="DC127" s="267"/>
      <c r="DD127" s="124"/>
      <c r="DE127" s="267"/>
      <c r="DF127" s="124"/>
      <c r="DG127" s="267"/>
      <c r="DH127" s="124"/>
      <c r="DI127" s="267"/>
      <c r="DJ127" s="124"/>
      <c r="DK127" s="267"/>
      <c r="DL127" s="124"/>
      <c r="DM127" s="267"/>
      <c r="DN127" s="338"/>
      <c r="DO127" s="338"/>
      <c r="DP127" s="124"/>
      <c r="DQ127" s="124"/>
      <c r="DR127" s="124"/>
      <c r="DS127" s="339"/>
      <c r="DT127" s="339"/>
      <c r="DU127" s="339"/>
      <c r="DV127" s="339"/>
      <c r="DW127" s="124"/>
      <c r="DX127" s="267"/>
      <c r="DY127" s="340"/>
    </row>
    <row r="128" spans="1:129" s="249" customFormat="1" ht="15" hidden="1" customHeight="1">
      <c r="A128" s="414" t="s">
        <v>84</v>
      </c>
      <c r="B128" s="414" t="s">
        <v>676</v>
      </c>
      <c r="C128" s="414"/>
      <c r="E128" s="248">
        <v>725035</v>
      </c>
      <c r="F128" s="415">
        <v>4</v>
      </c>
      <c r="G128" s="420" t="s">
        <v>187</v>
      </c>
      <c r="H128" s="415">
        <v>1541</v>
      </c>
      <c r="I128" s="416" t="s">
        <v>32</v>
      </c>
      <c r="J128" s="249" t="s">
        <v>32</v>
      </c>
      <c r="K128" s="248">
        <v>4</v>
      </c>
      <c r="L128" s="250" t="s">
        <v>187</v>
      </c>
      <c r="M128" s="403"/>
      <c r="N128" s="250" t="s">
        <v>186</v>
      </c>
      <c r="O128" s="250" t="s">
        <v>192</v>
      </c>
      <c r="P128" s="250" t="s">
        <v>187</v>
      </c>
      <c r="Q128" s="248" t="s">
        <v>187</v>
      </c>
      <c r="R128" s="248">
        <v>312</v>
      </c>
      <c r="S128" s="248" t="s">
        <v>188</v>
      </c>
      <c r="T128" s="119" t="s">
        <v>78</v>
      </c>
      <c r="U128" s="119"/>
      <c r="V128" s="119" t="s">
        <v>222</v>
      </c>
      <c r="W128" s="119" t="s">
        <v>2</v>
      </c>
      <c r="X128" s="421"/>
      <c r="Y128" s="422" t="s">
        <v>69</v>
      </c>
      <c r="Z128" s="423" t="s">
        <v>581</v>
      </c>
      <c r="AA128" s="249" t="s">
        <v>421</v>
      </c>
      <c r="AB128" s="119" t="s">
        <v>8</v>
      </c>
      <c r="AC128" s="267"/>
      <c r="AD128" s="267"/>
      <c r="AE128" s="124"/>
      <c r="AF128" s="124"/>
      <c r="AG128" s="124">
        <v>0</v>
      </c>
      <c r="AH128" s="418"/>
      <c r="AI128" s="124">
        <f t="shared" si="150"/>
        <v>0</v>
      </c>
      <c r="AJ128" s="344"/>
      <c r="AK128" s="267">
        <v>0</v>
      </c>
      <c r="AL128" s="318"/>
      <c r="AM128" s="318"/>
      <c r="AN128" s="7">
        <f t="shared" si="111"/>
        <v>0</v>
      </c>
      <c r="AO128" s="318"/>
      <c r="AP128" s="318"/>
      <c r="AQ128" s="7">
        <f t="shared" si="112"/>
        <v>0</v>
      </c>
      <c r="AR128" s="318"/>
      <c r="AS128" s="318"/>
      <c r="AT128" s="7">
        <f t="shared" si="113"/>
        <v>0</v>
      </c>
      <c r="AU128" s="7"/>
      <c r="AV128" s="7"/>
      <c r="AW128" s="7">
        <f t="shared" si="114"/>
        <v>0</v>
      </c>
      <c r="AX128" s="7"/>
      <c r="AY128" s="7"/>
      <c r="AZ128" s="7">
        <f t="shared" si="115"/>
        <v>0</v>
      </c>
      <c r="BA128" s="7"/>
      <c r="BB128" s="7"/>
      <c r="BC128" s="7">
        <f t="shared" si="116"/>
        <v>0</v>
      </c>
      <c r="BD128" s="7"/>
      <c r="BE128" s="7"/>
      <c r="BF128" s="7">
        <f t="shared" si="117"/>
        <v>0</v>
      </c>
      <c r="BG128" s="7"/>
      <c r="BH128" s="7"/>
      <c r="BI128" s="7">
        <f t="shared" si="118"/>
        <v>0</v>
      </c>
      <c r="BJ128" s="7"/>
      <c r="BK128" s="7"/>
      <c r="BL128" s="7">
        <f t="shared" si="119"/>
        <v>0</v>
      </c>
      <c r="BM128" s="7"/>
      <c r="BN128" s="7"/>
      <c r="BO128" s="7">
        <f t="shared" si="120"/>
        <v>0</v>
      </c>
      <c r="BP128" s="7"/>
      <c r="BQ128" s="7"/>
      <c r="BR128" s="7">
        <f t="shared" si="121"/>
        <v>0</v>
      </c>
      <c r="BS128" s="7"/>
      <c r="BT128" s="7"/>
      <c r="BU128" s="7">
        <f t="shared" si="122"/>
        <v>0</v>
      </c>
      <c r="BV128" s="7"/>
      <c r="BW128" s="7">
        <f t="shared" si="123"/>
        <v>0</v>
      </c>
      <c r="BX128" s="7">
        <f t="shared" si="124"/>
        <v>0</v>
      </c>
      <c r="BY128" s="7"/>
      <c r="BZ128" s="7">
        <f t="shared" si="125"/>
        <v>0</v>
      </c>
      <c r="CA128" s="7">
        <f t="shared" si="126"/>
        <v>0</v>
      </c>
      <c r="CB128" s="15" t="e">
        <f t="shared" si="127"/>
        <v>#DIV/0!</v>
      </c>
      <c r="CC128" s="15" t="e">
        <f t="shared" si="128"/>
        <v>#DIV/0!</v>
      </c>
      <c r="CD128" s="489"/>
      <c r="CE128" s="267">
        <v>0</v>
      </c>
      <c r="CF128" s="124">
        <v>2000000</v>
      </c>
      <c r="CG128" s="124"/>
      <c r="CH128" s="124"/>
      <c r="CI128" s="267"/>
      <c r="CJ128" s="124"/>
      <c r="CK128" s="267"/>
      <c r="CL128" s="124"/>
      <c r="CM128" s="267"/>
      <c r="CN128" s="267"/>
      <c r="CO128" s="124"/>
      <c r="CP128" s="124"/>
      <c r="CQ128" s="124"/>
      <c r="CR128" s="267"/>
      <c r="CS128" s="267"/>
      <c r="CT128" s="124"/>
      <c r="CU128" s="267"/>
      <c r="CV128" s="267"/>
      <c r="CW128" s="124"/>
      <c r="CX128" s="267"/>
      <c r="CY128" s="267"/>
      <c r="CZ128" s="124"/>
      <c r="DA128" s="267"/>
      <c r="DB128" s="124"/>
      <c r="DC128" s="267"/>
      <c r="DD128" s="124"/>
      <c r="DE128" s="267"/>
      <c r="DF128" s="124"/>
      <c r="DG128" s="267"/>
      <c r="DH128" s="124"/>
      <c r="DI128" s="267"/>
      <c r="DJ128" s="124"/>
      <c r="DK128" s="267"/>
      <c r="DL128" s="124"/>
      <c r="DM128" s="267"/>
      <c r="DN128" s="338"/>
      <c r="DO128" s="338"/>
      <c r="DP128" s="124"/>
      <c r="DQ128" s="124"/>
      <c r="DR128" s="124"/>
      <c r="DS128" s="339"/>
      <c r="DT128" s="339"/>
      <c r="DU128" s="339"/>
      <c r="DV128" s="339"/>
      <c r="DW128" s="124"/>
      <c r="DX128" s="267"/>
      <c r="DY128" s="340"/>
    </row>
    <row r="129" spans="1:129" s="249" customFormat="1" ht="30.75">
      <c r="A129" s="24" t="s">
        <v>84</v>
      </c>
      <c r="B129" s="24" t="s">
        <v>675</v>
      </c>
      <c r="C129" s="24" t="s">
        <v>683</v>
      </c>
      <c r="D129" s="10"/>
      <c r="E129" s="3">
        <v>725055</v>
      </c>
      <c r="F129" s="406">
        <v>4</v>
      </c>
      <c r="G129" s="412" t="s">
        <v>187</v>
      </c>
      <c r="H129" s="406">
        <v>1558</v>
      </c>
      <c r="I129" s="9" t="s">
        <v>32</v>
      </c>
      <c r="J129" s="10" t="s">
        <v>32</v>
      </c>
      <c r="K129" s="3">
        <v>4</v>
      </c>
      <c r="L129" s="11" t="s">
        <v>187</v>
      </c>
      <c r="M129" s="45"/>
      <c r="N129" s="11" t="s">
        <v>186</v>
      </c>
      <c r="O129" s="11" t="s">
        <v>192</v>
      </c>
      <c r="P129" s="11" t="s">
        <v>187</v>
      </c>
      <c r="Q129" s="3" t="s">
        <v>187</v>
      </c>
      <c r="R129" s="3">
        <v>270</v>
      </c>
      <c r="S129" s="3" t="s">
        <v>188</v>
      </c>
      <c r="T129" s="12" t="s">
        <v>26</v>
      </c>
      <c r="U129" s="12" t="s">
        <v>222</v>
      </c>
      <c r="V129" s="12"/>
      <c r="W129" s="12" t="s">
        <v>2</v>
      </c>
      <c r="X129" s="8"/>
      <c r="Y129" s="13" t="s">
        <v>69</v>
      </c>
      <c r="Z129" s="401" t="s">
        <v>94</v>
      </c>
      <c r="AA129" s="10" t="s">
        <v>666</v>
      </c>
      <c r="AB129" s="12" t="s">
        <v>8</v>
      </c>
      <c r="AC129" s="27"/>
      <c r="AD129" s="27"/>
      <c r="AE129" s="7"/>
      <c r="AF129" s="7"/>
      <c r="AG129" s="7"/>
      <c r="AH129" s="33"/>
      <c r="AI129" s="7"/>
      <c r="AJ129" s="472"/>
      <c r="AK129" s="480">
        <v>73700</v>
      </c>
      <c r="AL129" s="36">
        <v>0</v>
      </c>
      <c r="AM129" s="36">
        <v>0</v>
      </c>
      <c r="AN129" s="7">
        <f>AL129+AM129</f>
        <v>0</v>
      </c>
      <c r="AO129" s="318"/>
      <c r="AP129" s="318"/>
      <c r="AQ129" s="7"/>
      <c r="AR129" s="318"/>
      <c r="AS129" s="318"/>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v>0</v>
      </c>
      <c r="BW129" s="7">
        <f>AL129+AO129+AR129++AU129+AX129+BA129+BD129+BG129+BJ129+BM129+BP129+BS129</f>
        <v>0</v>
      </c>
      <c r="BX129" s="7">
        <f>AN129+AQ129+AT129+AW129+AZ129+BC129+BF129+BI129+BL129+BO129+BR129+BU129</f>
        <v>0</v>
      </c>
      <c r="BY129" s="7"/>
      <c r="BZ129" s="7">
        <f>AK129-BW129</f>
        <v>73700</v>
      </c>
      <c r="CA129" s="7">
        <f>AK129-BX129</f>
        <v>73700</v>
      </c>
      <c r="CB129" s="15">
        <f>BW129/AK129</f>
        <v>0</v>
      </c>
      <c r="CC129" s="15">
        <f>BX129/AK129</f>
        <v>0</v>
      </c>
      <c r="CD129" s="489" t="s">
        <v>755</v>
      </c>
      <c r="CE129" s="267"/>
      <c r="CF129" s="124"/>
      <c r="CG129" s="124"/>
      <c r="CH129" s="124"/>
      <c r="CI129" s="267"/>
      <c r="CJ129" s="124"/>
      <c r="CK129" s="267"/>
      <c r="CL129" s="124"/>
      <c r="CM129" s="267"/>
      <c r="CN129" s="267"/>
      <c r="CO129" s="124"/>
      <c r="CP129" s="124"/>
      <c r="CQ129" s="124"/>
      <c r="CR129" s="267"/>
      <c r="CS129" s="267"/>
      <c r="CT129" s="124"/>
      <c r="CU129" s="267"/>
      <c r="CV129" s="267"/>
      <c r="CW129" s="124"/>
      <c r="CX129" s="267"/>
      <c r="CY129" s="267"/>
      <c r="CZ129" s="124"/>
      <c r="DA129" s="267"/>
      <c r="DB129" s="124"/>
      <c r="DC129" s="267"/>
      <c r="DD129" s="124"/>
      <c r="DE129" s="267"/>
      <c r="DF129" s="124"/>
      <c r="DG129" s="267"/>
      <c r="DH129" s="124"/>
      <c r="DI129" s="267"/>
      <c r="DJ129" s="124"/>
      <c r="DK129" s="267"/>
      <c r="DL129" s="124"/>
      <c r="DM129" s="267"/>
      <c r="DN129" s="338"/>
      <c r="DO129" s="338"/>
      <c r="DP129" s="124"/>
      <c r="DQ129" s="124"/>
      <c r="DR129" s="124"/>
      <c r="DS129" s="339"/>
      <c r="DT129" s="339"/>
      <c r="DU129" s="339"/>
      <c r="DV129" s="339"/>
      <c r="DW129" s="124"/>
      <c r="DX129" s="267"/>
      <c r="DY129" s="340"/>
    </row>
    <row r="130" spans="1:129" s="10" customFormat="1" ht="16.5" customHeight="1" thickBot="1">
      <c r="A130" s="65"/>
      <c r="B130" s="28"/>
      <c r="C130" s="65"/>
      <c r="D130" s="37"/>
      <c r="E130" s="16"/>
      <c r="F130" s="408"/>
      <c r="G130" s="408"/>
      <c r="H130" s="408"/>
      <c r="I130" s="37"/>
      <c r="J130" s="38"/>
      <c r="K130" s="16"/>
      <c r="L130" s="16"/>
      <c r="M130" s="57"/>
      <c r="N130" s="16"/>
      <c r="O130" s="16"/>
      <c r="P130" s="16"/>
      <c r="Q130" s="16"/>
      <c r="R130" s="16"/>
      <c r="S130" s="16"/>
      <c r="T130" s="28"/>
      <c r="U130" s="28"/>
      <c r="V130" s="28"/>
      <c r="W130" s="28"/>
      <c r="X130" s="28"/>
      <c r="Y130" s="39"/>
      <c r="Z130" s="30"/>
      <c r="AA130" s="55" t="s">
        <v>88</v>
      </c>
      <c r="AB130" s="29"/>
      <c r="AC130" s="20">
        <f>SUM(AC114:AC119)</f>
        <v>2250000</v>
      </c>
      <c r="AD130" s="20">
        <f>SUM(AD114:AD119)</f>
        <v>0</v>
      </c>
      <c r="AE130" s="20">
        <f>SUM(AE114:AE119)</f>
        <v>2250000</v>
      </c>
      <c r="AF130" s="20">
        <f>SUM(AF114:AF119)</f>
        <v>500000</v>
      </c>
      <c r="AG130" s="20">
        <f>SUM(AG109:AG128)</f>
        <v>2750000</v>
      </c>
      <c r="AH130" s="20">
        <f>SUM(AH109:AH128)</f>
        <v>-2000000</v>
      </c>
      <c r="AI130" s="20">
        <f>SUM(AI109:AI128)</f>
        <v>750000</v>
      </c>
      <c r="AJ130" s="470">
        <f>SUM(AJ109:AJ128)</f>
        <v>2000000</v>
      </c>
      <c r="AK130" s="20">
        <f t="shared" ref="AK130:CA130" si="151">SUM(AK109:AK129)</f>
        <v>9800000</v>
      </c>
      <c r="AL130" s="476">
        <f t="shared" si="151"/>
        <v>1102.6300000000001</v>
      </c>
      <c r="AM130" s="20">
        <f t="shared" si="151"/>
        <v>0</v>
      </c>
      <c r="AN130" s="20">
        <f t="shared" si="151"/>
        <v>1102.6300000000001</v>
      </c>
      <c r="AO130" s="20">
        <f t="shared" si="151"/>
        <v>0</v>
      </c>
      <c r="AP130" s="20">
        <f t="shared" si="151"/>
        <v>0</v>
      </c>
      <c r="AQ130" s="20">
        <f t="shared" si="151"/>
        <v>0</v>
      </c>
      <c r="AR130" s="20">
        <f t="shared" si="151"/>
        <v>0</v>
      </c>
      <c r="AS130" s="20">
        <f t="shared" si="151"/>
        <v>0</v>
      </c>
      <c r="AT130" s="20">
        <f t="shared" si="151"/>
        <v>0</v>
      </c>
      <c r="AU130" s="20">
        <f t="shared" si="151"/>
        <v>0</v>
      </c>
      <c r="AV130" s="20">
        <f t="shared" si="151"/>
        <v>0</v>
      </c>
      <c r="AW130" s="20">
        <f t="shared" si="151"/>
        <v>0</v>
      </c>
      <c r="AX130" s="20">
        <f t="shared" si="151"/>
        <v>0</v>
      </c>
      <c r="AY130" s="20">
        <f t="shared" si="151"/>
        <v>0</v>
      </c>
      <c r="AZ130" s="20">
        <f t="shared" si="151"/>
        <v>0</v>
      </c>
      <c r="BA130" s="20">
        <f t="shared" si="151"/>
        <v>0</v>
      </c>
      <c r="BB130" s="20">
        <f t="shared" si="151"/>
        <v>0</v>
      </c>
      <c r="BC130" s="20">
        <f t="shared" si="151"/>
        <v>0</v>
      </c>
      <c r="BD130" s="20">
        <f t="shared" si="151"/>
        <v>0</v>
      </c>
      <c r="BE130" s="20">
        <f t="shared" si="151"/>
        <v>0</v>
      </c>
      <c r="BF130" s="20">
        <f t="shared" si="151"/>
        <v>0</v>
      </c>
      <c r="BG130" s="20">
        <f t="shared" si="151"/>
        <v>0</v>
      </c>
      <c r="BH130" s="20">
        <f t="shared" si="151"/>
        <v>0</v>
      </c>
      <c r="BI130" s="20">
        <f t="shared" si="151"/>
        <v>0</v>
      </c>
      <c r="BJ130" s="20">
        <f t="shared" si="151"/>
        <v>0</v>
      </c>
      <c r="BK130" s="20">
        <f t="shared" si="151"/>
        <v>0</v>
      </c>
      <c r="BL130" s="20">
        <f t="shared" si="151"/>
        <v>0</v>
      </c>
      <c r="BM130" s="20">
        <f t="shared" si="151"/>
        <v>0</v>
      </c>
      <c r="BN130" s="20">
        <f t="shared" si="151"/>
        <v>0</v>
      </c>
      <c r="BO130" s="20">
        <f t="shared" si="151"/>
        <v>0</v>
      </c>
      <c r="BP130" s="20">
        <f t="shared" si="151"/>
        <v>0</v>
      </c>
      <c r="BQ130" s="20">
        <f t="shared" si="151"/>
        <v>0</v>
      </c>
      <c r="BR130" s="20">
        <f t="shared" si="151"/>
        <v>0</v>
      </c>
      <c r="BS130" s="20">
        <f t="shared" si="151"/>
        <v>0</v>
      </c>
      <c r="BT130" s="20">
        <f t="shared" si="151"/>
        <v>0</v>
      </c>
      <c r="BU130" s="20">
        <f t="shared" si="151"/>
        <v>0</v>
      </c>
      <c r="BV130" s="20">
        <f t="shared" si="151"/>
        <v>0</v>
      </c>
      <c r="BW130" s="20">
        <f t="shared" si="151"/>
        <v>1102.6300000000001</v>
      </c>
      <c r="BX130" s="20">
        <f t="shared" si="151"/>
        <v>1102.6300000000001</v>
      </c>
      <c r="BY130" s="20">
        <f t="shared" si="151"/>
        <v>0</v>
      </c>
      <c r="BZ130" s="20">
        <f t="shared" si="151"/>
        <v>9798897.3699999992</v>
      </c>
      <c r="CA130" s="20">
        <f t="shared" si="151"/>
        <v>9798897.3699999992</v>
      </c>
      <c r="CB130" s="21">
        <f t="shared" si="127"/>
        <v>1.1251326530612246E-4</v>
      </c>
      <c r="CC130" s="21">
        <f t="shared" si="128"/>
        <v>1.1251326530612246E-4</v>
      </c>
      <c r="CD130" s="489"/>
      <c r="CE130" s="20">
        <f>SUM(CE109:CE129)</f>
        <v>12500000</v>
      </c>
      <c r="CF130" s="20">
        <f>SUM(CF109:CF129)</f>
        <v>25200000</v>
      </c>
      <c r="CG130" s="20">
        <f>SUM(CG109:CG129)</f>
        <v>0</v>
      </c>
      <c r="CH130" s="20">
        <f>SUM(CH109:CH129)</f>
        <v>0</v>
      </c>
      <c r="CI130" s="20">
        <f t="shared" ref="CI130:DR130" si="152">SUM(CI114:CI119)</f>
        <v>0</v>
      </c>
      <c r="CJ130" s="20">
        <f t="shared" si="152"/>
        <v>0</v>
      </c>
      <c r="CK130" s="20">
        <f t="shared" si="152"/>
        <v>0</v>
      </c>
      <c r="CL130" s="20">
        <f t="shared" si="152"/>
        <v>0</v>
      </c>
      <c r="CM130" s="20">
        <f t="shared" si="152"/>
        <v>0</v>
      </c>
      <c r="CN130" s="20">
        <f t="shared" si="152"/>
        <v>0</v>
      </c>
      <c r="CO130" s="20">
        <f t="shared" si="152"/>
        <v>0</v>
      </c>
      <c r="CP130" s="20">
        <f t="shared" si="152"/>
        <v>0</v>
      </c>
      <c r="CQ130" s="20">
        <f t="shared" si="152"/>
        <v>0</v>
      </c>
      <c r="CR130" s="20">
        <f t="shared" si="152"/>
        <v>0</v>
      </c>
      <c r="CS130" s="20">
        <f t="shared" si="152"/>
        <v>0</v>
      </c>
      <c r="CT130" s="20">
        <f t="shared" si="152"/>
        <v>0</v>
      </c>
      <c r="CU130" s="20">
        <f t="shared" si="152"/>
        <v>43280</v>
      </c>
      <c r="CV130" s="20">
        <f t="shared" si="152"/>
        <v>0</v>
      </c>
      <c r="CW130" s="20">
        <f t="shared" si="152"/>
        <v>43280</v>
      </c>
      <c r="CX130" s="20">
        <f t="shared" si="152"/>
        <v>0</v>
      </c>
      <c r="CY130" s="20">
        <f t="shared" si="152"/>
        <v>0</v>
      </c>
      <c r="CZ130" s="20">
        <f t="shared" si="152"/>
        <v>0</v>
      </c>
      <c r="DA130" s="20">
        <f t="shared" si="152"/>
        <v>0</v>
      </c>
      <c r="DB130" s="20">
        <f t="shared" si="152"/>
        <v>0</v>
      </c>
      <c r="DC130" s="20">
        <f t="shared" si="152"/>
        <v>0</v>
      </c>
      <c r="DD130" s="20">
        <f t="shared" si="152"/>
        <v>0</v>
      </c>
      <c r="DE130" s="20">
        <f t="shared" si="152"/>
        <v>0</v>
      </c>
      <c r="DF130" s="20">
        <f t="shared" si="152"/>
        <v>0</v>
      </c>
      <c r="DG130" s="20">
        <f t="shared" si="152"/>
        <v>0</v>
      </c>
      <c r="DH130" s="20">
        <f t="shared" si="152"/>
        <v>0</v>
      </c>
      <c r="DI130" s="20">
        <f t="shared" si="152"/>
        <v>0</v>
      </c>
      <c r="DJ130" s="20">
        <f t="shared" si="152"/>
        <v>0</v>
      </c>
      <c r="DK130" s="20">
        <f t="shared" si="152"/>
        <v>0</v>
      </c>
      <c r="DL130" s="20">
        <f t="shared" si="152"/>
        <v>0</v>
      </c>
      <c r="DM130" s="20">
        <f t="shared" si="152"/>
        <v>0</v>
      </c>
      <c r="DN130" s="20">
        <f t="shared" si="152"/>
        <v>43280</v>
      </c>
      <c r="DO130" s="20">
        <f t="shared" si="152"/>
        <v>43280</v>
      </c>
      <c r="DP130" s="20">
        <f t="shared" si="152"/>
        <v>0</v>
      </c>
      <c r="DQ130" s="20">
        <f t="shared" si="152"/>
        <v>2706720</v>
      </c>
      <c r="DR130" s="20">
        <f t="shared" si="152"/>
        <v>2706720</v>
      </c>
      <c r="DS130" s="21">
        <f>DN130/AG130</f>
        <v>1.5738181818181818E-2</v>
      </c>
      <c r="DT130" s="21">
        <f>DO130/AG130</f>
        <v>1.5738181818181818E-2</v>
      </c>
      <c r="DU130" s="302"/>
      <c r="DV130" s="302"/>
      <c r="DW130" s="20">
        <f>SUM(DW109:DW128)</f>
        <v>0</v>
      </c>
      <c r="DX130" s="122"/>
      <c r="DY130" s="329"/>
    </row>
    <row r="131" spans="1:129" s="10" customFormat="1" ht="15.75" customHeight="1" thickTop="1">
      <c r="A131" s="61"/>
      <c r="B131" s="12"/>
      <c r="C131" s="61"/>
      <c r="D131" s="9"/>
      <c r="E131" s="3"/>
      <c r="F131" s="406"/>
      <c r="G131" s="406"/>
      <c r="H131" s="406"/>
      <c r="I131" s="9"/>
      <c r="K131" s="3"/>
      <c r="L131" s="3"/>
      <c r="M131" s="45"/>
      <c r="N131" s="3"/>
      <c r="O131" s="3"/>
      <c r="P131" s="3"/>
      <c r="Q131" s="3"/>
      <c r="R131" s="3"/>
      <c r="S131" s="3"/>
      <c r="T131" s="12"/>
      <c r="U131" s="12"/>
      <c r="V131" s="12"/>
      <c r="W131" s="63"/>
      <c r="X131" s="12"/>
      <c r="Y131" s="13"/>
      <c r="Z131" s="25"/>
      <c r="AA131" s="258"/>
      <c r="AB131" s="24"/>
      <c r="AC131" s="7"/>
      <c r="AD131" s="7"/>
      <c r="AE131" s="7"/>
      <c r="AF131" s="7"/>
      <c r="AG131" s="7"/>
      <c r="AH131" s="7"/>
      <c r="AI131" s="7"/>
      <c r="AJ131" s="62"/>
      <c r="AK131" s="27"/>
      <c r="AL131" s="36"/>
      <c r="AM131" s="27"/>
      <c r="AN131" s="7"/>
      <c r="AO131" s="27"/>
      <c r="AP131" s="27"/>
      <c r="AQ131" s="7"/>
      <c r="AR131" s="27"/>
      <c r="AS131" s="2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15"/>
      <c r="CC131" s="15"/>
      <c r="CD131" s="489"/>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f>DA131</f>
        <v>0</v>
      </c>
      <c r="DC131" s="7"/>
      <c r="DD131" s="7">
        <f>DC131</f>
        <v>0</v>
      </c>
      <c r="DE131" s="7"/>
      <c r="DF131" s="7">
        <f>DE131</f>
        <v>0</v>
      </c>
      <c r="DG131" s="7"/>
      <c r="DH131" s="7">
        <f>DG131</f>
        <v>0</v>
      </c>
      <c r="DI131" s="7"/>
      <c r="DJ131" s="7">
        <f>DI131</f>
        <v>0</v>
      </c>
      <c r="DK131" s="7"/>
      <c r="DL131" s="7">
        <f>DK131</f>
        <v>0</v>
      </c>
      <c r="DM131" s="7"/>
      <c r="DN131" s="14"/>
      <c r="DO131" s="14"/>
      <c r="DP131" s="7"/>
      <c r="DQ131" s="7"/>
      <c r="DR131" s="7"/>
      <c r="DS131" s="15"/>
      <c r="DT131" s="15"/>
      <c r="DU131" s="15"/>
      <c r="DV131" s="15"/>
      <c r="DW131" s="7"/>
      <c r="DX131" s="27"/>
      <c r="DY131" s="329"/>
    </row>
    <row r="132" spans="1:129" s="10" customFormat="1" ht="15.75" customHeight="1">
      <c r="A132" s="44" t="s">
        <v>115</v>
      </c>
      <c r="B132" s="43"/>
      <c r="C132" s="44"/>
      <c r="D132" s="66"/>
      <c r="E132" s="67"/>
      <c r="F132" s="410"/>
      <c r="G132" s="410"/>
      <c r="H132" s="410"/>
      <c r="I132" s="9"/>
      <c r="K132" s="3"/>
      <c r="L132" s="3"/>
      <c r="M132" s="45"/>
      <c r="N132" s="3"/>
      <c r="O132" s="3"/>
      <c r="P132" s="3"/>
      <c r="Q132" s="3"/>
      <c r="R132" s="3"/>
      <c r="S132" s="3"/>
      <c r="T132" s="12"/>
      <c r="U132" s="12"/>
      <c r="V132" s="12"/>
      <c r="W132" s="12"/>
      <c r="X132" s="12"/>
      <c r="Y132" s="13"/>
      <c r="Z132" s="25"/>
      <c r="AA132" s="396" t="s">
        <v>115</v>
      </c>
      <c r="AB132" s="24"/>
      <c r="AC132" s="7"/>
      <c r="AD132" s="7"/>
      <c r="AE132" s="7"/>
      <c r="AF132" s="7"/>
      <c r="AG132" s="7"/>
      <c r="AH132" s="7"/>
      <c r="AI132" s="7"/>
      <c r="AJ132" s="62"/>
      <c r="AK132" s="27"/>
      <c r="AL132" s="36"/>
      <c r="AM132" s="27"/>
      <c r="AN132" s="7"/>
      <c r="AO132" s="27"/>
      <c r="AP132" s="27"/>
      <c r="AQ132" s="7"/>
      <c r="AR132" s="27"/>
      <c r="AS132" s="2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15"/>
      <c r="CC132" s="15"/>
      <c r="CD132" s="489"/>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f>DA132</f>
        <v>0</v>
      </c>
      <c r="DC132" s="7"/>
      <c r="DD132" s="7">
        <f>DC132</f>
        <v>0</v>
      </c>
      <c r="DE132" s="7"/>
      <c r="DF132" s="7">
        <f>DE132</f>
        <v>0</v>
      </c>
      <c r="DG132" s="7"/>
      <c r="DH132" s="7">
        <f>DG132</f>
        <v>0</v>
      </c>
      <c r="DI132" s="7"/>
      <c r="DJ132" s="7">
        <f>DI132</f>
        <v>0</v>
      </c>
      <c r="DK132" s="7"/>
      <c r="DL132" s="7">
        <f>DK132</f>
        <v>0</v>
      </c>
      <c r="DM132" s="7"/>
      <c r="DN132" s="14"/>
      <c r="DO132" s="14"/>
      <c r="DP132" s="7"/>
      <c r="DQ132" s="7"/>
      <c r="DR132" s="7"/>
      <c r="DS132" s="15"/>
      <c r="DT132" s="15"/>
      <c r="DU132" s="15"/>
      <c r="DV132" s="15"/>
      <c r="DW132" s="7"/>
      <c r="DX132" s="27"/>
      <c r="DY132" s="329"/>
    </row>
    <row r="133" spans="1:129" s="10" customFormat="1" ht="15.75" customHeight="1">
      <c r="A133" s="24" t="s">
        <v>83</v>
      </c>
      <c r="B133" s="24" t="s">
        <v>677</v>
      </c>
      <c r="C133" s="24" t="s">
        <v>654</v>
      </c>
      <c r="D133" s="66"/>
      <c r="E133" s="3">
        <v>755005</v>
      </c>
      <c r="F133" s="406">
        <v>4</v>
      </c>
      <c r="G133" s="412" t="s">
        <v>187</v>
      </c>
      <c r="H133" s="406">
        <v>1544</v>
      </c>
      <c r="I133" s="9" t="s">
        <v>31</v>
      </c>
      <c r="J133" s="10" t="s">
        <v>72</v>
      </c>
      <c r="K133" s="3">
        <v>4</v>
      </c>
      <c r="L133" s="11" t="s">
        <v>187</v>
      </c>
      <c r="M133" s="45"/>
      <c r="N133" s="11" t="s">
        <v>186</v>
      </c>
      <c r="O133" s="11" t="s">
        <v>192</v>
      </c>
      <c r="P133" s="11" t="s">
        <v>187</v>
      </c>
      <c r="Q133" s="3" t="s">
        <v>187</v>
      </c>
      <c r="R133" s="3">
        <v>270</v>
      </c>
      <c r="S133" s="3" t="s">
        <v>188</v>
      </c>
      <c r="T133" s="12" t="s">
        <v>26</v>
      </c>
      <c r="U133" s="12" t="s">
        <v>222</v>
      </c>
      <c r="V133" s="12"/>
      <c r="W133" s="12" t="s">
        <v>2</v>
      </c>
      <c r="X133" s="12"/>
      <c r="Y133" s="25" t="s">
        <v>69</v>
      </c>
      <c r="Z133" s="25" t="s">
        <v>92</v>
      </c>
      <c r="AA133" s="9" t="s">
        <v>293</v>
      </c>
      <c r="AB133" s="12" t="s">
        <v>8</v>
      </c>
      <c r="AC133" s="7"/>
      <c r="AD133" s="7"/>
      <c r="AE133" s="7"/>
      <c r="AF133" s="7"/>
      <c r="AG133" s="7">
        <f t="shared" ref="AG133:AG152" si="153">AE133+AF133</f>
        <v>0</v>
      </c>
      <c r="AH133" s="7"/>
      <c r="AI133" s="7">
        <f t="shared" ref="AI133:AI153" si="154">+AG133+AH133</f>
        <v>0</v>
      </c>
      <c r="AJ133" s="62"/>
      <c r="AK133" s="27">
        <f>500000-300000</f>
        <v>200000</v>
      </c>
      <c r="AL133" s="36">
        <v>0</v>
      </c>
      <c r="AM133" s="27">
        <v>0</v>
      </c>
      <c r="AN133" s="7">
        <f t="shared" ref="AN133:AN153" si="155">AL133+AM133</f>
        <v>0</v>
      </c>
      <c r="AO133" s="27"/>
      <c r="AP133" s="27"/>
      <c r="AQ133" s="7">
        <f t="shared" ref="AQ133:AQ153" si="156">AO133+AP133</f>
        <v>0</v>
      </c>
      <c r="AR133" s="27"/>
      <c r="AS133" s="27"/>
      <c r="AT133" s="7">
        <f t="shared" ref="AT133:AT153" si="157">AR133+AS133</f>
        <v>0</v>
      </c>
      <c r="AU133" s="7"/>
      <c r="AV133" s="7"/>
      <c r="AW133" s="7">
        <f t="shared" ref="AW133:AW153" si="158">AU133+AV133</f>
        <v>0</v>
      </c>
      <c r="AX133" s="7"/>
      <c r="AY133" s="7"/>
      <c r="AZ133" s="7">
        <f t="shared" ref="AZ133:AZ153" si="159">AX133+AY133</f>
        <v>0</v>
      </c>
      <c r="BA133" s="7"/>
      <c r="BB133" s="7"/>
      <c r="BC133" s="7">
        <f t="shared" ref="BC133:BC153" si="160">BA133+BB133</f>
        <v>0</v>
      </c>
      <c r="BD133" s="7"/>
      <c r="BE133" s="7"/>
      <c r="BF133" s="7">
        <f t="shared" ref="BF133:BF153" si="161">BD133+BE133</f>
        <v>0</v>
      </c>
      <c r="BG133" s="7"/>
      <c r="BH133" s="7"/>
      <c r="BI133" s="7">
        <f t="shared" ref="BI133:BI153" si="162">BG133+BH133</f>
        <v>0</v>
      </c>
      <c r="BJ133" s="7"/>
      <c r="BK133" s="7"/>
      <c r="BL133" s="7">
        <f t="shared" ref="BL133:BL153" si="163">BJ133+BK133</f>
        <v>0</v>
      </c>
      <c r="BM133" s="7"/>
      <c r="BN133" s="7"/>
      <c r="BO133" s="7">
        <f t="shared" ref="BO133:BO153" si="164">BM133+BN133</f>
        <v>0</v>
      </c>
      <c r="BP133" s="7"/>
      <c r="BQ133" s="7"/>
      <c r="BR133" s="7">
        <f t="shared" ref="BR133:BR153" si="165">BP133+BQ133</f>
        <v>0</v>
      </c>
      <c r="BS133" s="7"/>
      <c r="BT133" s="7"/>
      <c r="BU133" s="7">
        <f t="shared" ref="BU133:BU153" si="166">BS133+BT133</f>
        <v>0</v>
      </c>
      <c r="BV133" s="7">
        <v>0</v>
      </c>
      <c r="BW133" s="7">
        <f t="shared" ref="BW133:BW153" si="167">AL133+AO133+AR133++AU133+AX133+BA133+BD133+BG133+BJ133+BM133+BP133+BS133</f>
        <v>0</v>
      </c>
      <c r="BX133" s="7">
        <f t="shared" ref="BX133:BX153" si="168">AN133+AQ133+AT133+AW133+AZ133+BC133+BF133+BI133+BL133+BO133+BR133+BU133</f>
        <v>0</v>
      </c>
      <c r="BY133" s="7"/>
      <c r="BZ133" s="7">
        <f t="shared" ref="BZ133:BZ153" si="169">AK133-BW133</f>
        <v>200000</v>
      </c>
      <c r="CA133" s="7">
        <f t="shared" ref="CA133:CA153" si="170">AK133-BX133</f>
        <v>200000</v>
      </c>
      <c r="CB133" s="15">
        <f t="shared" ref="CB133:CB155" si="171">BW133/AK133</f>
        <v>0</v>
      </c>
      <c r="CC133" s="15">
        <f t="shared" ref="CC133:CC155" si="172">BX133/AK133</f>
        <v>0</v>
      </c>
      <c r="CD133" s="489" t="s">
        <v>745</v>
      </c>
      <c r="CE133" s="7">
        <v>500000</v>
      </c>
      <c r="CF133" s="7">
        <v>500000</v>
      </c>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14"/>
      <c r="DO133" s="14"/>
      <c r="DP133" s="7"/>
      <c r="DQ133" s="7"/>
      <c r="DR133" s="7"/>
      <c r="DS133" s="15"/>
      <c r="DT133" s="15"/>
      <c r="DU133" s="15"/>
      <c r="DV133" s="15"/>
      <c r="DW133" s="7"/>
      <c r="DX133" s="27"/>
      <c r="DY133" s="329"/>
    </row>
    <row r="134" spans="1:129" s="10" customFormat="1" ht="15" customHeight="1">
      <c r="A134" s="24" t="s">
        <v>83</v>
      </c>
      <c r="B134" s="24" t="s">
        <v>74</v>
      </c>
      <c r="C134" s="24" t="s">
        <v>641</v>
      </c>
      <c r="D134" s="10" t="s">
        <v>74</v>
      </c>
      <c r="E134" s="3">
        <v>755010</v>
      </c>
      <c r="F134" s="406">
        <v>4</v>
      </c>
      <c r="G134" s="406">
        <v>36</v>
      </c>
      <c r="H134" s="406">
        <v>1539</v>
      </c>
      <c r="I134" s="9" t="s">
        <v>31</v>
      </c>
      <c r="J134" s="10" t="s">
        <v>75</v>
      </c>
      <c r="K134" s="3">
        <v>4</v>
      </c>
      <c r="L134" s="3">
        <v>36</v>
      </c>
      <c r="M134" s="45"/>
      <c r="N134" s="3" t="s">
        <v>186</v>
      </c>
      <c r="O134" s="11" t="s">
        <v>192</v>
      </c>
      <c r="P134" s="3" t="s">
        <v>187</v>
      </c>
      <c r="Q134" s="3" t="s">
        <v>187</v>
      </c>
      <c r="R134" s="3">
        <v>150</v>
      </c>
      <c r="S134" s="3" t="s">
        <v>188</v>
      </c>
      <c r="T134" s="12" t="s">
        <v>48</v>
      </c>
      <c r="U134" s="12" t="s">
        <v>222</v>
      </c>
      <c r="V134" s="12"/>
      <c r="W134" s="12" t="s">
        <v>2</v>
      </c>
      <c r="X134" s="8" t="s">
        <v>59</v>
      </c>
      <c r="Y134" s="25" t="s">
        <v>69</v>
      </c>
      <c r="Z134" s="25" t="s">
        <v>95</v>
      </c>
      <c r="AA134" s="258" t="s">
        <v>118</v>
      </c>
      <c r="AB134" s="110" t="s">
        <v>37</v>
      </c>
      <c r="AC134" s="7">
        <v>3000000</v>
      </c>
      <c r="AD134" s="7"/>
      <c r="AE134" s="7">
        <f>AC134+AD134</f>
        <v>3000000</v>
      </c>
      <c r="AF134" s="7"/>
      <c r="AG134" s="7">
        <f t="shared" si="153"/>
        <v>3000000</v>
      </c>
      <c r="AH134" s="7"/>
      <c r="AI134" s="7">
        <f t="shared" si="154"/>
        <v>3000000</v>
      </c>
      <c r="AJ134" s="62"/>
      <c r="AK134" s="7">
        <f>5000000-3000000</f>
        <v>2000000</v>
      </c>
      <c r="AL134" s="33">
        <v>0</v>
      </c>
      <c r="AM134" s="7">
        <v>0</v>
      </c>
      <c r="AN134" s="7">
        <f t="shared" si="155"/>
        <v>0</v>
      </c>
      <c r="AO134" s="7"/>
      <c r="AP134" s="7"/>
      <c r="AQ134" s="7">
        <f t="shared" si="156"/>
        <v>0</v>
      </c>
      <c r="AR134" s="7"/>
      <c r="AS134" s="7"/>
      <c r="AT134" s="7">
        <f t="shared" si="157"/>
        <v>0</v>
      </c>
      <c r="AU134" s="7"/>
      <c r="AV134" s="7"/>
      <c r="AW134" s="7">
        <f t="shared" si="158"/>
        <v>0</v>
      </c>
      <c r="AX134" s="7"/>
      <c r="AY134" s="7"/>
      <c r="AZ134" s="7">
        <f t="shared" si="159"/>
        <v>0</v>
      </c>
      <c r="BA134" s="7"/>
      <c r="BB134" s="7"/>
      <c r="BC134" s="7">
        <f t="shared" si="160"/>
        <v>0</v>
      </c>
      <c r="BD134" s="7"/>
      <c r="BE134" s="7"/>
      <c r="BF134" s="7">
        <f t="shared" si="161"/>
        <v>0</v>
      </c>
      <c r="BG134" s="7"/>
      <c r="BH134" s="7"/>
      <c r="BI134" s="7">
        <f t="shared" si="162"/>
        <v>0</v>
      </c>
      <c r="BJ134" s="7"/>
      <c r="BK134" s="7"/>
      <c r="BL134" s="7">
        <f t="shared" si="163"/>
        <v>0</v>
      </c>
      <c r="BM134" s="7"/>
      <c r="BN134" s="7"/>
      <c r="BO134" s="7">
        <f t="shared" si="164"/>
        <v>0</v>
      </c>
      <c r="BP134" s="7"/>
      <c r="BQ134" s="7"/>
      <c r="BR134" s="7">
        <f t="shared" si="165"/>
        <v>0</v>
      </c>
      <c r="BS134" s="7"/>
      <c r="BT134" s="7"/>
      <c r="BU134" s="7">
        <f t="shared" si="166"/>
        <v>0</v>
      </c>
      <c r="BV134" s="7">
        <v>0</v>
      </c>
      <c r="BW134" s="7">
        <f t="shared" si="167"/>
        <v>0</v>
      </c>
      <c r="BX134" s="7">
        <f t="shared" si="168"/>
        <v>0</v>
      </c>
      <c r="BY134" s="7"/>
      <c r="BZ134" s="7">
        <f t="shared" si="169"/>
        <v>2000000</v>
      </c>
      <c r="CA134" s="7">
        <f t="shared" si="170"/>
        <v>2000000</v>
      </c>
      <c r="CB134" s="15">
        <f t="shared" si="171"/>
        <v>0</v>
      </c>
      <c r="CC134" s="15">
        <f t="shared" si="172"/>
        <v>0</v>
      </c>
      <c r="CD134" s="489" t="s">
        <v>768</v>
      </c>
      <c r="CE134" s="7">
        <v>0</v>
      </c>
      <c r="CF134" s="7">
        <v>0</v>
      </c>
      <c r="CG134" s="7"/>
      <c r="CH134" s="7"/>
      <c r="CI134" s="7"/>
      <c r="CJ134" s="7">
        <f>CI134</f>
        <v>0</v>
      </c>
      <c r="CK134" s="7"/>
      <c r="CL134" s="7">
        <f>CK134</f>
        <v>0</v>
      </c>
      <c r="CM134" s="7">
        <v>4531.5600000000004</v>
      </c>
      <c r="CN134" s="7">
        <v>634.41</v>
      </c>
      <c r="CO134" s="7">
        <f>CM134+CN134</f>
        <v>5165.97</v>
      </c>
      <c r="CP134" s="7">
        <f>CI134+CK134+CM134</f>
        <v>4531.5600000000004</v>
      </c>
      <c r="CQ134" s="7">
        <f>CJ134+CL134+CO134</f>
        <v>5165.97</v>
      </c>
      <c r="CR134" s="7"/>
      <c r="CS134" s="7"/>
      <c r="CT134" s="7">
        <f>CR134+CS134</f>
        <v>0</v>
      </c>
      <c r="CU134" s="7"/>
      <c r="CV134" s="7"/>
      <c r="CW134" s="7">
        <f>CU134+CV134</f>
        <v>0</v>
      </c>
      <c r="CX134" s="7"/>
      <c r="CY134" s="7"/>
      <c r="CZ134" s="7">
        <f>CX134+CY134</f>
        <v>0</v>
      </c>
      <c r="DA134" s="7"/>
      <c r="DB134" s="7">
        <f>DA134</f>
        <v>0</v>
      </c>
      <c r="DC134" s="7"/>
      <c r="DD134" s="7">
        <f>DC134</f>
        <v>0</v>
      </c>
      <c r="DE134" s="7"/>
      <c r="DF134" s="7">
        <f>DE134</f>
        <v>0</v>
      </c>
      <c r="DG134" s="7"/>
      <c r="DH134" s="7">
        <f>DG134</f>
        <v>0</v>
      </c>
      <c r="DI134" s="7"/>
      <c r="DJ134" s="7">
        <f>DI134</f>
        <v>0</v>
      </c>
      <c r="DK134" s="7"/>
      <c r="DL134" s="7">
        <f>DK134</f>
        <v>0</v>
      </c>
      <c r="DM134" s="7"/>
      <c r="DN134" s="14">
        <f>CI134+CK134+CM134+CR134+CU134+CX134+DA134+DC134+DE134+DG134+DI134+DK134</f>
        <v>4531.5600000000004</v>
      </c>
      <c r="DO134" s="14">
        <f>CJ134+CL134+CO134+CT134+CW134+CZ134</f>
        <v>5165.97</v>
      </c>
      <c r="DP134" s="7"/>
      <c r="DQ134" s="7">
        <f>AG134-DN134</f>
        <v>2995468.44</v>
      </c>
      <c r="DR134" s="7">
        <f>AG134-DO134</f>
        <v>2994834.03</v>
      </c>
      <c r="DS134" s="15">
        <f t="shared" ref="DS134:DS142" si="173">DN134/AG134</f>
        <v>1.5105200000000002E-3</v>
      </c>
      <c r="DT134" s="15">
        <f t="shared" ref="DT134:DT142" si="174">DO134/AG134</f>
        <v>1.7219900000000001E-3</v>
      </c>
      <c r="DU134" s="7"/>
      <c r="DV134" s="7"/>
      <c r="DW134" s="7"/>
      <c r="DX134" s="27"/>
      <c r="DY134" s="329"/>
    </row>
    <row r="135" spans="1:129" s="10" customFormat="1" ht="18" customHeight="1">
      <c r="A135" s="24" t="s">
        <v>83</v>
      </c>
      <c r="B135" s="24" t="s">
        <v>67</v>
      </c>
      <c r="C135" s="24" t="s">
        <v>241</v>
      </c>
      <c r="D135" s="10" t="s">
        <v>74</v>
      </c>
      <c r="E135" s="3">
        <v>755025</v>
      </c>
      <c r="F135" s="406">
        <v>4</v>
      </c>
      <c r="G135" s="406">
        <v>36</v>
      </c>
      <c r="H135" s="406">
        <v>1540</v>
      </c>
      <c r="I135" s="9" t="s">
        <v>43</v>
      </c>
      <c r="J135" s="10" t="s">
        <v>74</v>
      </c>
      <c r="K135" s="3">
        <v>4</v>
      </c>
      <c r="L135" s="3">
        <v>36</v>
      </c>
      <c r="M135" s="45"/>
      <c r="N135" s="3" t="s">
        <v>186</v>
      </c>
      <c r="O135" s="3" t="s">
        <v>192</v>
      </c>
      <c r="P135" s="3" t="s">
        <v>187</v>
      </c>
      <c r="Q135" s="3" t="s">
        <v>187</v>
      </c>
      <c r="R135" s="3">
        <v>220</v>
      </c>
      <c r="S135" s="3" t="s">
        <v>188</v>
      </c>
      <c r="T135" s="12" t="s">
        <v>27</v>
      </c>
      <c r="U135" s="12" t="s">
        <v>222</v>
      </c>
      <c r="V135" s="12"/>
      <c r="W135" s="12" t="s">
        <v>2</v>
      </c>
      <c r="X135" s="8" t="s">
        <v>4</v>
      </c>
      <c r="Y135" s="25" t="s">
        <v>69</v>
      </c>
      <c r="Z135" s="25" t="s">
        <v>92</v>
      </c>
      <c r="AA135" s="258" t="s">
        <v>279</v>
      </c>
      <c r="AB135" s="110" t="s">
        <v>37</v>
      </c>
      <c r="AC135" s="7">
        <v>12040943</v>
      </c>
      <c r="AD135" s="7"/>
      <c r="AE135" s="7">
        <f>AC135+AD135-4000000</f>
        <v>8040943</v>
      </c>
      <c r="AF135" s="7">
        <v>3000000</v>
      </c>
      <c r="AG135" s="7">
        <f t="shared" si="153"/>
        <v>11040943</v>
      </c>
      <c r="AH135" s="7">
        <v>7500000</v>
      </c>
      <c r="AI135" s="7">
        <f t="shared" si="154"/>
        <v>18540943</v>
      </c>
      <c r="AJ135" s="62"/>
      <c r="AK135" s="7">
        <f>20000000-10000000</f>
        <v>10000000</v>
      </c>
      <c r="AL135" s="33">
        <v>0</v>
      </c>
      <c r="AM135" s="7">
        <v>0</v>
      </c>
      <c r="AN135" s="7">
        <f t="shared" si="155"/>
        <v>0</v>
      </c>
      <c r="AO135" s="7"/>
      <c r="AP135" s="7"/>
      <c r="AQ135" s="7">
        <f t="shared" si="156"/>
        <v>0</v>
      </c>
      <c r="AR135" s="7"/>
      <c r="AS135" s="7"/>
      <c r="AT135" s="7">
        <f t="shared" si="157"/>
        <v>0</v>
      </c>
      <c r="AU135" s="7"/>
      <c r="AV135" s="7"/>
      <c r="AW135" s="7">
        <f t="shared" si="158"/>
        <v>0</v>
      </c>
      <c r="AX135" s="7"/>
      <c r="AY135" s="7"/>
      <c r="AZ135" s="7">
        <f t="shared" si="159"/>
        <v>0</v>
      </c>
      <c r="BA135" s="7"/>
      <c r="BB135" s="7"/>
      <c r="BC135" s="7">
        <f t="shared" si="160"/>
        <v>0</v>
      </c>
      <c r="BD135" s="7"/>
      <c r="BE135" s="7"/>
      <c r="BF135" s="7">
        <f t="shared" si="161"/>
        <v>0</v>
      </c>
      <c r="BG135" s="7"/>
      <c r="BH135" s="7"/>
      <c r="BI135" s="7">
        <f t="shared" si="162"/>
        <v>0</v>
      </c>
      <c r="BJ135" s="7"/>
      <c r="BK135" s="7"/>
      <c r="BL135" s="7">
        <f t="shared" si="163"/>
        <v>0</v>
      </c>
      <c r="BM135" s="7"/>
      <c r="BN135" s="7"/>
      <c r="BO135" s="7">
        <f t="shared" si="164"/>
        <v>0</v>
      </c>
      <c r="BP135" s="7"/>
      <c r="BQ135" s="7"/>
      <c r="BR135" s="7">
        <f t="shared" si="165"/>
        <v>0</v>
      </c>
      <c r="BS135" s="7"/>
      <c r="BT135" s="7"/>
      <c r="BU135" s="7">
        <f t="shared" si="166"/>
        <v>0</v>
      </c>
      <c r="BV135" s="7">
        <v>0</v>
      </c>
      <c r="BW135" s="7">
        <f t="shared" si="167"/>
        <v>0</v>
      </c>
      <c r="BX135" s="7">
        <f t="shared" si="168"/>
        <v>0</v>
      </c>
      <c r="BY135" s="7"/>
      <c r="BZ135" s="7">
        <f t="shared" si="169"/>
        <v>10000000</v>
      </c>
      <c r="CA135" s="7">
        <f t="shared" si="170"/>
        <v>10000000</v>
      </c>
      <c r="CB135" s="15">
        <f t="shared" si="171"/>
        <v>0</v>
      </c>
      <c r="CC135" s="15">
        <f t="shared" si="172"/>
        <v>0</v>
      </c>
      <c r="CD135" s="489" t="s">
        <v>685</v>
      </c>
      <c r="CE135" s="7">
        <v>8000000</v>
      </c>
      <c r="CF135" s="7">
        <v>8000000</v>
      </c>
      <c r="CG135" s="7"/>
      <c r="CH135" s="7"/>
      <c r="CI135" s="7"/>
      <c r="CJ135" s="7">
        <f>CI135</f>
        <v>0</v>
      </c>
      <c r="CK135" s="7">
        <v>91583.2</v>
      </c>
      <c r="CL135" s="7">
        <f>CK135+2743.72</f>
        <v>94326.92</v>
      </c>
      <c r="CM135" s="7">
        <v>581732.54</v>
      </c>
      <c r="CN135" s="7">
        <v>8018.19</v>
      </c>
      <c r="CO135" s="7">
        <f t="shared" ref="CO135:CO152" si="175">CM135+CN135</f>
        <v>589750.73</v>
      </c>
      <c r="CP135" s="7">
        <f>CI135+CK135+CM135</f>
        <v>673315.74</v>
      </c>
      <c r="CQ135" s="7">
        <f>CJ135+CL135+CO135</f>
        <v>684077.65</v>
      </c>
      <c r="CR135" s="7">
        <v>660644.36</v>
      </c>
      <c r="CS135" s="7">
        <v>88006.48</v>
      </c>
      <c r="CT135" s="7">
        <f>CR135+CS135</f>
        <v>748650.84</v>
      </c>
      <c r="CU135" s="7">
        <v>1691335.57</v>
      </c>
      <c r="CV135" s="7">
        <v>212536.29</v>
      </c>
      <c r="CW135" s="7">
        <f t="shared" ref="CW135:CW152" si="176">CU135+CV135</f>
        <v>1903871.86</v>
      </c>
      <c r="CX135" s="7">
        <v>3734448.25</v>
      </c>
      <c r="CY135" s="7">
        <v>432675.81</v>
      </c>
      <c r="CZ135" s="7">
        <f t="shared" ref="CZ135:CZ153" si="177">CX135+CY135</f>
        <v>4167124.06</v>
      </c>
      <c r="DA135" s="7"/>
      <c r="DB135" s="7">
        <f>DA135</f>
        <v>0</v>
      </c>
      <c r="DC135" s="7"/>
      <c r="DD135" s="7">
        <f>DC135</f>
        <v>0</v>
      </c>
      <c r="DE135" s="7"/>
      <c r="DF135" s="7">
        <f>DE135</f>
        <v>0</v>
      </c>
      <c r="DG135" s="7"/>
      <c r="DH135" s="7">
        <f>DG135</f>
        <v>0</v>
      </c>
      <c r="DI135" s="7"/>
      <c r="DJ135" s="7">
        <f>DI135</f>
        <v>0</v>
      </c>
      <c r="DK135" s="7"/>
      <c r="DL135" s="7">
        <f>DK135</f>
        <v>0</v>
      </c>
      <c r="DM135" s="7">
        <v>4981912.0599999996</v>
      </c>
      <c r="DN135" s="14">
        <f t="shared" ref="DN135:DN152" si="178">CI135+CK135+CM135+CR135+CU135+CX135+DA135+DC135+DE135+DG135+DI135+DK135</f>
        <v>6759743.9199999999</v>
      </c>
      <c r="DO135" s="14">
        <f t="shared" ref="DO135:DO153" si="179">CJ135+CL135+CO135+CT135+CW135+CZ135</f>
        <v>7503724.4100000001</v>
      </c>
      <c r="DP135" s="7"/>
      <c r="DQ135" s="7">
        <f t="shared" ref="DQ135:DQ152" si="180">AG135-DN135</f>
        <v>4281199.08</v>
      </c>
      <c r="DR135" s="7">
        <f t="shared" ref="DR135:DR152" si="181">AG135-DO135</f>
        <v>3537218.59</v>
      </c>
      <c r="DS135" s="15">
        <f t="shared" si="173"/>
        <v>0.61224334914146372</v>
      </c>
      <c r="DT135" s="15">
        <f t="shared" si="174"/>
        <v>0.67962713058114688</v>
      </c>
      <c r="DU135" s="7">
        <v>10000000</v>
      </c>
      <c r="DV135" s="7"/>
      <c r="DW135" s="7"/>
      <c r="DX135" s="27"/>
      <c r="DY135" s="329"/>
    </row>
    <row r="136" spans="1:129" s="10" customFormat="1" ht="15" customHeight="1">
      <c r="A136" s="24" t="s">
        <v>83</v>
      </c>
      <c r="B136" s="24" t="s">
        <v>17</v>
      </c>
      <c r="C136" s="24" t="s">
        <v>242</v>
      </c>
      <c r="D136" s="10" t="s">
        <v>75</v>
      </c>
      <c r="E136" s="3">
        <v>760025</v>
      </c>
      <c r="F136" s="406">
        <v>4</v>
      </c>
      <c r="G136" s="406">
        <v>36</v>
      </c>
      <c r="H136" s="406">
        <v>1541</v>
      </c>
      <c r="I136" s="9" t="s">
        <v>31</v>
      </c>
      <c r="J136" s="10" t="s">
        <v>75</v>
      </c>
      <c r="K136" s="3"/>
      <c r="L136" s="3"/>
      <c r="M136" s="45"/>
      <c r="N136" s="3" t="s">
        <v>186</v>
      </c>
      <c r="O136" s="3" t="s">
        <v>192</v>
      </c>
      <c r="P136" s="3" t="s">
        <v>187</v>
      </c>
      <c r="Q136" s="3" t="s">
        <v>187</v>
      </c>
      <c r="R136" s="3">
        <v>170</v>
      </c>
      <c r="S136" s="3" t="s">
        <v>188</v>
      </c>
      <c r="T136" s="12" t="s">
        <v>49</v>
      </c>
      <c r="U136" s="12" t="s">
        <v>222</v>
      </c>
      <c r="V136" s="12"/>
      <c r="W136" s="12" t="s">
        <v>2</v>
      </c>
      <c r="X136" s="8"/>
      <c r="Y136" s="25" t="s">
        <v>69</v>
      </c>
      <c r="Z136" s="25"/>
      <c r="AA136" s="258" t="s">
        <v>286</v>
      </c>
      <c r="AB136" s="110" t="s">
        <v>37</v>
      </c>
      <c r="AC136" s="7"/>
      <c r="AD136" s="7"/>
      <c r="AE136" s="7">
        <v>4000000</v>
      </c>
      <c r="AF136" s="7"/>
      <c r="AG136" s="7">
        <f t="shared" si="153"/>
        <v>4000000</v>
      </c>
      <c r="AH136" s="7">
        <v>-3000000</v>
      </c>
      <c r="AI136" s="7">
        <f t="shared" si="154"/>
        <v>1000000</v>
      </c>
      <c r="AJ136" s="62"/>
      <c r="AK136" s="7">
        <v>7000000</v>
      </c>
      <c r="AL136" s="33">
        <v>0</v>
      </c>
      <c r="AM136" s="7">
        <v>0</v>
      </c>
      <c r="AN136" s="7">
        <f t="shared" si="155"/>
        <v>0</v>
      </c>
      <c r="AO136" s="7"/>
      <c r="AP136" s="7"/>
      <c r="AQ136" s="7">
        <f t="shared" si="156"/>
        <v>0</v>
      </c>
      <c r="AR136" s="7"/>
      <c r="AS136" s="7"/>
      <c r="AT136" s="7">
        <f t="shared" si="157"/>
        <v>0</v>
      </c>
      <c r="AU136" s="7"/>
      <c r="AV136" s="7"/>
      <c r="AW136" s="7">
        <f t="shared" si="158"/>
        <v>0</v>
      </c>
      <c r="AX136" s="7"/>
      <c r="AY136" s="7"/>
      <c r="AZ136" s="7">
        <f t="shared" si="159"/>
        <v>0</v>
      </c>
      <c r="BA136" s="7"/>
      <c r="BB136" s="7"/>
      <c r="BC136" s="7">
        <f t="shared" si="160"/>
        <v>0</v>
      </c>
      <c r="BD136" s="7"/>
      <c r="BE136" s="7"/>
      <c r="BF136" s="7">
        <f t="shared" si="161"/>
        <v>0</v>
      </c>
      <c r="BG136" s="7"/>
      <c r="BH136" s="7"/>
      <c r="BI136" s="7">
        <f t="shared" si="162"/>
        <v>0</v>
      </c>
      <c r="BJ136" s="7"/>
      <c r="BK136" s="7"/>
      <c r="BL136" s="7">
        <f t="shared" si="163"/>
        <v>0</v>
      </c>
      <c r="BM136" s="7"/>
      <c r="BN136" s="7"/>
      <c r="BO136" s="7">
        <f t="shared" si="164"/>
        <v>0</v>
      </c>
      <c r="BP136" s="7"/>
      <c r="BQ136" s="7"/>
      <c r="BR136" s="7">
        <f t="shared" si="165"/>
        <v>0</v>
      </c>
      <c r="BS136" s="7"/>
      <c r="BT136" s="7"/>
      <c r="BU136" s="7">
        <f t="shared" si="166"/>
        <v>0</v>
      </c>
      <c r="BV136" s="7">
        <v>0</v>
      </c>
      <c r="BW136" s="7">
        <f t="shared" si="167"/>
        <v>0</v>
      </c>
      <c r="BX136" s="7">
        <f t="shared" si="168"/>
        <v>0</v>
      </c>
      <c r="BY136" s="7"/>
      <c r="BZ136" s="7">
        <f t="shared" si="169"/>
        <v>7000000</v>
      </c>
      <c r="CA136" s="7">
        <f t="shared" si="170"/>
        <v>7000000</v>
      </c>
      <c r="CB136" s="15">
        <f t="shared" si="171"/>
        <v>0</v>
      </c>
      <c r="CC136" s="15">
        <f t="shared" si="172"/>
        <v>0</v>
      </c>
      <c r="CD136" s="489" t="s">
        <v>686</v>
      </c>
      <c r="CE136" s="7">
        <v>0</v>
      </c>
      <c r="CF136" s="7">
        <v>0</v>
      </c>
      <c r="CG136" s="7"/>
      <c r="CH136" s="7"/>
      <c r="CI136" s="7"/>
      <c r="CJ136" s="7"/>
      <c r="CK136" s="7"/>
      <c r="CL136" s="7"/>
      <c r="CM136" s="7"/>
      <c r="CN136" s="7"/>
      <c r="CO136" s="7"/>
      <c r="CP136" s="7"/>
      <c r="CQ136" s="7"/>
      <c r="CR136" s="7"/>
      <c r="CS136" s="7"/>
      <c r="CT136" s="7"/>
      <c r="CU136" s="7"/>
      <c r="CV136" s="7"/>
      <c r="CW136" s="7"/>
      <c r="CX136" s="7"/>
      <c r="CY136" s="7"/>
      <c r="CZ136" s="7">
        <f t="shared" si="177"/>
        <v>0</v>
      </c>
      <c r="DA136" s="7"/>
      <c r="DB136" s="7"/>
      <c r="DC136" s="7"/>
      <c r="DD136" s="7"/>
      <c r="DE136" s="7"/>
      <c r="DF136" s="7"/>
      <c r="DG136" s="7"/>
      <c r="DH136" s="7"/>
      <c r="DI136" s="7"/>
      <c r="DJ136" s="7"/>
      <c r="DK136" s="7"/>
      <c r="DL136" s="7"/>
      <c r="DM136" s="7"/>
      <c r="DN136" s="14"/>
      <c r="DO136" s="14">
        <f t="shared" si="179"/>
        <v>0</v>
      </c>
      <c r="DP136" s="7"/>
      <c r="DQ136" s="7">
        <f t="shared" si="180"/>
        <v>4000000</v>
      </c>
      <c r="DR136" s="7">
        <f t="shared" si="181"/>
        <v>4000000</v>
      </c>
      <c r="DS136" s="15">
        <f t="shared" si="173"/>
        <v>0</v>
      </c>
      <c r="DT136" s="15">
        <f t="shared" si="174"/>
        <v>0</v>
      </c>
      <c r="DU136" s="7"/>
      <c r="DV136" s="7"/>
      <c r="DW136" s="7"/>
      <c r="DX136" s="27"/>
      <c r="DY136" s="329"/>
    </row>
    <row r="137" spans="1:129" s="10" customFormat="1" ht="79.5" customHeight="1">
      <c r="A137" s="24" t="s">
        <v>83</v>
      </c>
      <c r="B137" s="24" t="s">
        <v>17</v>
      </c>
      <c r="C137" s="24" t="s">
        <v>242</v>
      </c>
      <c r="D137" s="10" t="s">
        <v>75</v>
      </c>
      <c r="E137" s="3">
        <v>760025</v>
      </c>
      <c r="F137" s="406">
        <v>4</v>
      </c>
      <c r="G137" s="406">
        <v>36</v>
      </c>
      <c r="H137" s="406">
        <v>1542</v>
      </c>
      <c r="I137" s="9" t="s">
        <v>31</v>
      </c>
      <c r="J137" s="10" t="s">
        <v>75</v>
      </c>
      <c r="K137" s="3">
        <v>4</v>
      </c>
      <c r="L137" s="3">
        <v>36</v>
      </c>
      <c r="M137" s="45"/>
      <c r="N137" s="3" t="s">
        <v>186</v>
      </c>
      <c r="O137" s="3" t="s">
        <v>192</v>
      </c>
      <c r="P137" s="3" t="s">
        <v>187</v>
      </c>
      <c r="Q137" s="3" t="s">
        <v>187</v>
      </c>
      <c r="R137" s="3">
        <v>170</v>
      </c>
      <c r="S137" s="3" t="s">
        <v>188</v>
      </c>
      <c r="T137" s="12" t="s">
        <v>49</v>
      </c>
      <c r="U137" s="12" t="s">
        <v>222</v>
      </c>
      <c r="V137" s="12"/>
      <c r="W137" s="12" t="s">
        <v>2</v>
      </c>
      <c r="X137" s="8" t="s">
        <v>17</v>
      </c>
      <c r="Y137" s="25" t="s">
        <v>69</v>
      </c>
      <c r="Z137" s="25" t="s">
        <v>178</v>
      </c>
      <c r="AA137" s="258" t="s">
        <v>512</v>
      </c>
      <c r="AB137" s="110" t="s">
        <v>37</v>
      </c>
      <c r="AC137" s="7">
        <v>10000000</v>
      </c>
      <c r="AD137" s="7"/>
      <c r="AE137" s="7">
        <f>AC137+AD137</f>
        <v>10000000</v>
      </c>
      <c r="AF137" s="7">
        <v>-4000000</v>
      </c>
      <c r="AG137" s="7">
        <f t="shared" si="153"/>
        <v>6000000</v>
      </c>
      <c r="AH137" s="7">
        <v>-5000000</v>
      </c>
      <c r="AI137" s="7">
        <f t="shared" si="154"/>
        <v>1000000</v>
      </c>
      <c r="AJ137" s="62"/>
      <c r="AK137" s="7">
        <v>3000000</v>
      </c>
      <c r="AL137" s="33">
        <v>0</v>
      </c>
      <c r="AM137" s="7">
        <v>0</v>
      </c>
      <c r="AN137" s="7">
        <f t="shared" si="155"/>
        <v>0</v>
      </c>
      <c r="AO137" s="7"/>
      <c r="AP137" s="7"/>
      <c r="AQ137" s="7">
        <f t="shared" si="156"/>
        <v>0</v>
      </c>
      <c r="AR137" s="7"/>
      <c r="AS137" s="7"/>
      <c r="AT137" s="7">
        <f t="shared" si="157"/>
        <v>0</v>
      </c>
      <c r="AU137" s="7"/>
      <c r="AV137" s="7"/>
      <c r="AW137" s="7">
        <f t="shared" si="158"/>
        <v>0</v>
      </c>
      <c r="AX137" s="7"/>
      <c r="AY137" s="7"/>
      <c r="AZ137" s="7">
        <f t="shared" si="159"/>
        <v>0</v>
      </c>
      <c r="BA137" s="7"/>
      <c r="BB137" s="7"/>
      <c r="BC137" s="7">
        <f t="shared" si="160"/>
        <v>0</v>
      </c>
      <c r="BD137" s="7"/>
      <c r="BE137" s="7"/>
      <c r="BF137" s="7">
        <f t="shared" si="161"/>
        <v>0</v>
      </c>
      <c r="BG137" s="7"/>
      <c r="BH137" s="7"/>
      <c r="BI137" s="7">
        <f t="shared" si="162"/>
        <v>0</v>
      </c>
      <c r="BJ137" s="7"/>
      <c r="BK137" s="7"/>
      <c r="BL137" s="7">
        <f t="shared" si="163"/>
        <v>0</v>
      </c>
      <c r="BM137" s="7"/>
      <c r="BN137" s="7"/>
      <c r="BO137" s="7">
        <f t="shared" si="164"/>
        <v>0</v>
      </c>
      <c r="BP137" s="7"/>
      <c r="BQ137" s="7"/>
      <c r="BR137" s="7">
        <f t="shared" si="165"/>
        <v>0</v>
      </c>
      <c r="BS137" s="7"/>
      <c r="BT137" s="7"/>
      <c r="BU137" s="7">
        <f t="shared" si="166"/>
        <v>0</v>
      </c>
      <c r="BV137" s="7">
        <v>9900</v>
      </c>
      <c r="BW137" s="7">
        <f t="shared" si="167"/>
        <v>0</v>
      </c>
      <c r="BX137" s="7">
        <f t="shared" si="168"/>
        <v>0</v>
      </c>
      <c r="BY137" s="7"/>
      <c r="BZ137" s="7">
        <f t="shared" si="169"/>
        <v>3000000</v>
      </c>
      <c r="CA137" s="7">
        <f t="shared" si="170"/>
        <v>3000000</v>
      </c>
      <c r="CB137" s="15">
        <f t="shared" si="171"/>
        <v>0</v>
      </c>
      <c r="CC137" s="15">
        <f t="shared" si="172"/>
        <v>0</v>
      </c>
      <c r="CD137" s="489" t="s">
        <v>687</v>
      </c>
      <c r="CE137" s="7">
        <v>9000000</v>
      </c>
      <c r="CF137" s="7">
        <v>9000000</v>
      </c>
      <c r="CG137" s="7"/>
      <c r="CH137" s="7"/>
      <c r="CI137" s="7"/>
      <c r="CJ137" s="7">
        <f>CI137</f>
        <v>0</v>
      </c>
      <c r="CK137" s="7">
        <v>123401.18</v>
      </c>
      <c r="CL137" s="7">
        <f>CK137+3229.82</f>
        <v>126631</v>
      </c>
      <c r="CM137" s="7">
        <v>485376.34</v>
      </c>
      <c r="CN137" s="7">
        <v>65891.88</v>
      </c>
      <c r="CO137" s="7">
        <f t="shared" si="175"/>
        <v>551268.22</v>
      </c>
      <c r="CP137" s="7">
        <f>CI137+CK137+CM137</f>
        <v>608777.52</v>
      </c>
      <c r="CQ137" s="7">
        <f>CJ137+CL137+CO137</f>
        <v>677899.22</v>
      </c>
      <c r="CR137" s="7">
        <v>295837.21000000002</v>
      </c>
      <c r="CS137" s="7">
        <v>8054.91</v>
      </c>
      <c r="CT137" s="7">
        <f>CR137+CS137</f>
        <v>303892.12</v>
      </c>
      <c r="CU137" s="7">
        <v>132480</v>
      </c>
      <c r="CV137" s="7"/>
      <c r="CW137" s="7">
        <f t="shared" si="176"/>
        <v>132480</v>
      </c>
      <c r="CX137" s="7">
        <v>727758.62</v>
      </c>
      <c r="CY137" s="7">
        <v>16971.310000000001</v>
      </c>
      <c r="CZ137" s="7">
        <f t="shared" si="177"/>
        <v>744729.93</v>
      </c>
      <c r="DA137" s="7"/>
      <c r="DB137" s="7">
        <f>DA137</f>
        <v>0</v>
      </c>
      <c r="DC137" s="7"/>
      <c r="DD137" s="7">
        <f>DC137</f>
        <v>0</v>
      </c>
      <c r="DE137" s="7"/>
      <c r="DF137" s="7">
        <f>DE137</f>
        <v>0</v>
      </c>
      <c r="DG137" s="7"/>
      <c r="DH137" s="7">
        <f>DG137</f>
        <v>0</v>
      </c>
      <c r="DI137" s="7"/>
      <c r="DJ137" s="7">
        <f>DI137</f>
        <v>0</v>
      </c>
      <c r="DK137" s="7"/>
      <c r="DL137" s="7">
        <f>DK137</f>
        <v>0</v>
      </c>
      <c r="DM137" s="7">
        <v>1574808.82</v>
      </c>
      <c r="DN137" s="14">
        <f t="shared" si="178"/>
        <v>1764853.35</v>
      </c>
      <c r="DO137" s="14">
        <f t="shared" si="179"/>
        <v>1859001.27</v>
      </c>
      <c r="DP137" s="7"/>
      <c r="DQ137" s="7">
        <f t="shared" si="180"/>
        <v>4235146.6500000004</v>
      </c>
      <c r="DR137" s="7">
        <f t="shared" si="181"/>
        <v>4140998.73</v>
      </c>
      <c r="DS137" s="15">
        <f t="shared" si="173"/>
        <v>0.29414222500000003</v>
      </c>
      <c r="DT137" s="15">
        <f t="shared" si="174"/>
        <v>0.30983354499999999</v>
      </c>
      <c r="DU137" s="7">
        <v>20000000</v>
      </c>
      <c r="DV137" s="7"/>
      <c r="DW137" s="7"/>
      <c r="DX137" s="27"/>
      <c r="DY137" s="329"/>
    </row>
    <row r="138" spans="1:129" s="10" customFormat="1" ht="17.25" customHeight="1">
      <c r="A138" s="24" t="s">
        <v>83</v>
      </c>
      <c r="B138" s="12" t="s">
        <v>18</v>
      </c>
      <c r="C138" s="24" t="s">
        <v>243</v>
      </c>
      <c r="E138" s="3">
        <v>765010</v>
      </c>
      <c r="F138" s="406">
        <v>4</v>
      </c>
      <c r="G138" s="412" t="s">
        <v>187</v>
      </c>
      <c r="H138" s="406">
        <v>1545</v>
      </c>
      <c r="I138" s="9" t="s">
        <v>324</v>
      </c>
      <c r="J138" s="10" t="s">
        <v>75</v>
      </c>
      <c r="K138" s="3">
        <v>4</v>
      </c>
      <c r="L138" s="11" t="s">
        <v>187</v>
      </c>
      <c r="M138" s="45"/>
      <c r="N138" s="11" t="s">
        <v>186</v>
      </c>
      <c r="O138" s="11" t="s">
        <v>192</v>
      </c>
      <c r="P138" s="11" t="s">
        <v>187</v>
      </c>
      <c r="Q138" s="3" t="s">
        <v>187</v>
      </c>
      <c r="R138" s="3">
        <v>160</v>
      </c>
      <c r="S138" s="3" t="s">
        <v>188</v>
      </c>
      <c r="T138" s="12" t="s">
        <v>28</v>
      </c>
      <c r="U138" s="12"/>
      <c r="V138" s="12" t="s">
        <v>222</v>
      </c>
      <c r="W138" s="12"/>
      <c r="X138" s="8"/>
      <c r="Y138" s="25" t="s">
        <v>69</v>
      </c>
      <c r="Z138" s="25"/>
      <c r="AA138" s="10" t="s">
        <v>505</v>
      </c>
      <c r="AB138" s="12" t="s">
        <v>8</v>
      </c>
      <c r="AC138" s="7"/>
      <c r="AD138" s="7"/>
      <c r="AE138" s="7"/>
      <c r="AF138" s="7"/>
      <c r="AG138" s="7"/>
      <c r="AH138" s="7"/>
      <c r="AI138" s="7"/>
      <c r="AJ138" s="62"/>
      <c r="AK138" s="7">
        <v>1500000</v>
      </c>
      <c r="AL138" s="33">
        <v>0</v>
      </c>
      <c r="AM138" s="7">
        <v>0</v>
      </c>
      <c r="AN138" s="7">
        <f>AL138+AM138</f>
        <v>0</v>
      </c>
      <c r="AO138" s="7"/>
      <c r="AP138" s="7"/>
      <c r="AQ138" s="7">
        <f>AO138+AP138</f>
        <v>0</v>
      </c>
      <c r="AR138" s="7"/>
      <c r="AS138" s="7"/>
      <c r="AT138" s="7">
        <f>AR138+AS138</f>
        <v>0</v>
      </c>
      <c r="AU138" s="7"/>
      <c r="AV138" s="7"/>
      <c r="AW138" s="7">
        <f>AU138+AV138</f>
        <v>0</v>
      </c>
      <c r="AX138" s="7"/>
      <c r="AY138" s="7"/>
      <c r="AZ138" s="7">
        <f>AX138+AY138</f>
        <v>0</v>
      </c>
      <c r="BA138" s="7"/>
      <c r="BB138" s="7"/>
      <c r="BC138" s="7">
        <f>BA138+BB138</f>
        <v>0</v>
      </c>
      <c r="BD138" s="7"/>
      <c r="BE138" s="7"/>
      <c r="BF138" s="7">
        <f>BD138+BE138</f>
        <v>0</v>
      </c>
      <c r="BG138" s="7"/>
      <c r="BH138" s="7"/>
      <c r="BI138" s="7">
        <f>BG138+BH138</f>
        <v>0</v>
      </c>
      <c r="BJ138" s="7"/>
      <c r="BK138" s="7"/>
      <c r="BL138" s="7">
        <f>BJ138+BK138</f>
        <v>0</v>
      </c>
      <c r="BM138" s="7"/>
      <c r="BN138" s="7"/>
      <c r="BO138" s="7">
        <f>BM138+BN138</f>
        <v>0</v>
      </c>
      <c r="BP138" s="7"/>
      <c r="BQ138" s="7"/>
      <c r="BR138" s="7">
        <f>BP138+BQ138</f>
        <v>0</v>
      </c>
      <c r="BS138" s="7"/>
      <c r="BT138" s="7"/>
      <c r="BU138" s="7">
        <f>BS138+BT138</f>
        <v>0</v>
      </c>
      <c r="BV138" s="7">
        <v>0</v>
      </c>
      <c r="BW138" s="7">
        <f>AL138+AO138+AR138++AU138+AX138+BA138+BD138+BG138+BJ138+BM138+BP138+BS138</f>
        <v>0</v>
      </c>
      <c r="BX138" s="7">
        <f>AN138+AQ138+AT138+AW138+AZ138+BC138+BF138+BI138+BL138+BO138+BR138+BU138</f>
        <v>0</v>
      </c>
      <c r="BY138" s="7"/>
      <c r="BZ138" s="7">
        <f>AK138-BW138</f>
        <v>1500000</v>
      </c>
      <c r="CA138" s="7">
        <f>AK138-BX138</f>
        <v>1500000</v>
      </c>
      <c r="CB138" s="15">
        <f>BW138/AK138</f>
        <v>0</v>
      </c>
      <c r="CC138" s="15">
        <f>BX138/AK138</f>
        <v>0</v>
      </c>
      <c r="CD138" s="489" t="s">
        <v>688</v>
      </c>
      <c r="CE138" s="7">
        <v>0</v>
      </c>
      <c r="CF138" s="7">
        <v>0</v>
      </c>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14"/>
      <c r="DO138" s="14"/>
      <c r="DP138" s="7"/>
      <c r="DQ138" s="7"/>
      <c r="DR138" s="7"/>
      <c r="DS138" s="15"/>
      <c r="DT138" s="15"/>
      <c r="DU138" s="15"/>
      <c r="DV138" s="15"/>
      <c r="DW138" s="7"/>
      <c r="DX138" s="27"/>
      <c r="DY138" s="329"/>
    </row>
    <row r="139" spans="1:129" s="10" customFormat="1" ht="15" customHeight="1">
      <c r="A139" s="24" t="s">
        <v>83</v>
      </c>
      <c r="B139" s="12" t="s">
        <v>18</v>
      </c>
      <c r="C139" s="24" t="s">
        <v>243</v>
      </c>
      <c r="D139" s="10" t="s">
        <v>75</v>
      </c>
      <c r="E139" s="3">
        <v>765010</v>
      </c>
      <c r="F139" s="406">
        <v>4</v>
      </c>
      <c r="G139" s="412" t="s">
        <v>187</v>
      </c>
      <c r="H139" s="406">
        <v>1546</v>
      </c>
      <c r="I139" s="9" t="s">
        <v>324</v>
      </c>
      <c r="J139" s="10" t="s">
        <v>75</v>
      </c>
      <c r="K139" s="3">
        <v>4</v>
      </c>
      <c r="L139" s="11" t="s">
        <v>187</v>
      </c>
      <c r="M139" s="45"/>
      <c r="N139" s="11" t="s">
        <v>186</v>
      </c>
      <c r="O139" s="11" t="s">
        <v>192</v>
      </c>
      <c r="P139" s="3" t="s">
        <v>187</v>
      </c>
      <c r="Q139" s="3" t="s">
        <v>187</v>
      </c>
      <c r="R139" s="3">
        <v>160</v>
      </c>
      <c r="S139" s="3" t="s">
        <v>188</v>
      </c>
      <c r="T139" s="12" t="s">
        <v>28</v>
      </c>
      <c r="U139" s="12"/>
      <c r="V139" s="12" t="s">
        <v>222</v>
      </c>
      <c r="W139" s="12" t="s">
        <v>2</v>
      </c>
      <c r="X139" s="8" t="s">
        <v>18</v>
      </c>
      <c r="Y139" s="25" t="s">
        <v>69</v>
      </c>
      <c r="Z139" s="25" t="s">
        <v>179</v>
      </c>
      <c r="AA139" s="10" t="s">
        <v>561</v>
      </c>
      <c r="AB139" s="12" t="s">
        <v>8</v>
      </c>
      <c r="AC139" s="7"/>
      <c r="AD139" s="7"/>
      <c r="AE139" s="7"/>
      <c r="AF139" s="7"/>
      <c r="AG139" s="7"/>
      <c r="AH139" s="7"/>
      <c r="AI139" s="7"/>
      <c r="AJ139" s="62"/>
      <c r="AK139" s="7">
        <v>41907</v>
      </c>
      <c r="AL139" s="33">
        <v>0</v>
      </c>
      <c r="AM139" s="7">
        <v>0</v>
      </c>
      <c r="AN139" s="7">
        <f>AL139+AM139</f>
        <v>0</v>
      </c>
      <c r="AO139" s="7"/>
      <c r="AP139" s="7"/>
      <c r="AQ139" s="7">
        <f>AO139+AP139</f>
        <v>0</v>
      </c>
      <c r="AR139" s="7"/>
      <c r="AS139" s="7"/>
      <c r="AT139" s="7">
        <f>AR139+AS139</f>
        <v>0</v>
      </c>
      <c r="AU139" s="7"/>
      <c r="AV139" s="7"/>
      <c r="AW139" s="7">
        <f>AU139+AV139</f>
        <v>0</v>
      </c>
      <c r="AX139" s="7"/>
      <c r="AY139" s="7"/>
      <c r="AZ139" s="7">
        <f>AX139+AY139</f>
        <v>0</v>
      </c>
      <c r="BA139" s="7"/>
      <c r="BB139" s="7"/>
      <c r="BC139" s="7">
        <f>BA139+BB139</f>
        <v>0</v>
      </c>
      <c r="BD139" s="7"/>
      <c r="BE139" s="7"/>
      <c r="BF139" s="7">
        <f>BD139+BE139</f>
        <v>0</v>
      </c>
      <c r="BG139" s="7"/>
      <c r="BH139" s="7"/>
      <c r="BI139" s="7">
        <f>BG139+BH139</f>
        <v>0</v>
      </c>
      <c r="BJ139" s="7"/>
      <c r="BK139" s="7"/>
      <c r="BL139" s="7">
        <f>BJ139+BK139</f>
        <v>0</v>
      </c>
      <c r="BM139" s="7"/>
      <c r="BN139" s="7"/>
      <c r="BO139" s="7">
        <f>BM139+BN139</f>
        <v>0</v>
      </c>
      <c r="BP139" s="7"/>
      <c r="BQ139" s="7"/>
      <c r="BR139" s="7">
        <f>BP139+BQ139</f>
        <v>0</v>
      </c>
      <c r="BS139" s="7"/>
      <c r="BT139" s="7"/>
      <c r="BU139" s="7">
        <f>BS139+BT139</f>
        <v>0</v>
      </c>
      <c r="BV139" s="7">
        <v>0</v>
      </c>
      <c r="BW139" s="7">
        <f>AL139+AO139+AR139++AU139+AX139+BA139+BD139+BG139+BJ139+BM139+BP139+BS139</f>
        <v>0</v>
      </c>
      <c r="BX139" s="7">
        <f>AN139+AQ139+AT139+AW139+AZ139+BC139+BF139+BI139+BL139+BO139+BR139+BU139</f>
        <v>0</v>
      </c>
      <c r="BY139" s="7"/>
      <c r="BZ139" s="7">
        <f>AK139-BW139</f>
        <v>41907</v>
      </c>
      <c r="CA139" s="7">
        <f>AK139-BX139</f>
        <v>41907</v>
      </c>
      <c r="CB139" s="15">
        <f>BW139/AK139</f>
        <v>0</v>
      </c>
      <c r="CC139" s="15">
        <f>BX139/AK139</f>
        <v>0</v>
      </c>
      <c r="CD139" s="489" t="s">
        <v>689</v>
      </c>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14"/>
      <c r="DO139" s="14"/>
      <c r="DP139" s="7"/>
      <c r="DQ139" s="7"/>
      <c r="DR139" s="7"/>
      <c r="DS139" s="15"/>
      <c r="DT139" s="15"/>
      <c r="DU139" s="15"/>
      <c r="DV139" s="15"/>
      <c r="DW139" s="7"/>
      <c r="DX139" s="27"/>
      <c r="DY139" s="329"/>
    </row>
    <row r="140" spans="1:129" s="10" customFormat="1" ht="33" customHeight="1">
      <c r="A140" s="24" t="s">
        <v>83</v>
      </c>
      <c r="B140" s="12" t="s">
        <v>18</v>
      </c>
      <c r="C140" s="24" t="s">
        <v>243</v>
      </c>
      <c r="D140" s="10" t="s">
        <v>75</v>
      </c>
      <c r="E140" s="3">
        <v>765010</v>
      </c>
      <c r="F140" s="406">
        <v>4</v>
      </c>
      <c r="G140" s="406">
        <v>36</v>
      </c>
      <c r="H140" s="406">
        <v>1543</v>
      </c>
      <c r="I140" s="9" t="s">
        <v>324</v>
      </c>
      <c r="J140" s="10" t="s">
        <v>75</v>
      </c>
      <c r="K140" s="3">
        <v>4</v>
      </c>
      <c r="L140" s="3">
        <v>36</v>
      </c>
      <c r="M140" s="45"/>
      <c r="N140" s="3" t="s">
        <v>186</v>
      </c>
      <c r="O140" s="3" t="s">
        <v>192</v>
      </c>
      <c r="P140" s="3" t="s">
        <v>187</v>
      </c>
      <c r="Q140" s="3" t="s">
        <v>187</v>
      </c>
      <c r="R140" s="3">
        <v>160</v>
      </c>
      <c r="S140" s="3" t="s">
        <v>188</v>
      </c>
      <c r="T140" s="12" t="s">
        <v>28</v>
      </c>
      <c r="U140" s="12"/>
      <c r="V140" s="12" t="s">
        <v>222</v>
      </c>
      <c r="W140" s="12" t="s">
        <v>2</v>
      </c>
      <c r="X140" s="8" t="s">
        <v>15</v>
      </c>
      <c r="Y140" s="25" t="s">
        <v>69</v>
      </c>
      <c r="Z140" s="25" t="s">
        <v>144</v>
      </c>
      <c r="AA140" s="258" t="s">
        <v>123</v>
      </c>
      <c r="AB140" s="110" t="s">
        <v>37</v>
      </c>
      <c r="AC140" s="7">
        <v>5000000</v>
      </c>
      <c r="AD140" s="7"/>
      <c r="AE140" s="7">
        <f>AC140+AD140</f>
        <v>5000000</v>
      </c>
      <c r="AF140" s="7">
        <v>-5000000</v>
      </c>
      <c r="AG140" s="7">
        <f t="shared" si="153"/>
        <v>0</v>
      </c>
      <c r="AH140" s="7"/>
      <c r="AI140" s="7">
        <f t="shared" si="154"/>
        <v>0</v>
      </c>
      <c r="AJ140" s="62"/>
      <c r="AK140" s="7">
        <v>15000000</v>
      </c>
      <c r="AL140" s="33">
        <v>0</v>
      </c>
      <c r="AM140" s="7">
        <v>0</v>
      </c>
      <c r="AN140" s="7">
        <f t="shared" si="155"/>
        <v>0</v>
      </c>
      <c r="AO140" s="7"/>
      <c r="AP140" s="7"/>
      <c r="AQ140" s="7">
        <f t="shared" si="156"/>
        <v>0</v>
      </c>
      <c r="AR140" s="7"/>
      <c r="AS140" s="7"/>
      <c r="AT140" s="7">
        <f t="shared" si="157"/>
        <v>0</v>
      </c>
      <c r="AU140" s="7"/>
      <c r="AV140" s="7"/>
      <c r="AW140" s="7">
        <f t="shared" si="158"/>
        <v>0</v>
      </c>
      <c r="AX140" s="7"/>
      <c r="AY140" s="7"/>
      <c r="AZ140" s="7">
        <f t="shared" si="159"/>
        <v>0</v>
      </c>
      <c r="BA140" s="7"/>
      <c r="BB140" s="7"/>
      <c r="BC140" s="7">
        <f t="shared" si="160"/>
        <v>0</v>
      </c>
      <c r="BD140" s="7"/>
      <c r="BE140" s="7"/>
      <c r="BF140" s="7">
        <f t="shared" si="161"/>
        <v>0</v>
      </c>
      <c r="BG140" s="7"/>
      <c r="BH140" s="7"/>
      <c r="BI140" s="7">
        <f t="shared" si="162"/>
        <v>0</v>
      </c>
      <c r="BJ140" s="7"/>
      <c r="BK140" s="7"/>
      <c r="BL140" s="7">
        <f t="shared" si="163"/>
        <v>0</v>
      </c>
      <c r="BM140" s="7"/>
      <c r="BN140" s="7"/>
      <c r="BO140" s="7">
        <f t="shared" si="164"/>
        <v>0</v>
      </c>
      <c r="BP140" s="7"/>
      <c r="BQ140" s="7"/>
      <c r="BR140" s="7">
        <f t="shared" si="165"/>
        <v>0</v>
      </c>
      <c r="BS140" s="7"/>
      <c r="BT140" s="7"/>
      <c r="BU140" s="7">
        <f t="shared" si="166"/>
        <v>0</v>
      </c>
      <c r="BV140" s="7">
        <v>0</v>
      </c>
      <c r="BW140" s="7">
        <f t="shared" si="167"/>
        <v>0</v>
      </c>
      <c r="BX140" s="7">
        <f t="shared" si="168"/>
        <v>0</v>
      </c>
      <c r="BY140" s="7"/>
      <c r="BZ140" s="7">
        <f t="shared" si="169"/>
        <v>15000000</v>
      </c>
      <c r="CA140" s="7">
        <f t="shared" si="170"/>
        <v>15000000</v>
      </c>
      <c r="CB140" s="15">
        <f t="shared" si="171"/>
        <v>0</v>
      </c>
      <c r="CC140" s="15">
        <f t="shared" si="172"/>
        <v>0</v>
      </c>
      <c r="CD140" s="489" t="s">
        <v>690</v>
      </c>
      <c r="CE140" s="7">
        <v>5000000</v>
      </c>
      <c r="CF140" s="7">
        <v>5000000</v>
      </c>
      <c r="CG140" s="7"/>
      <c r="CH140" s="7"/>
      <c r="CI140" s="7"/>
      <c r="CJ140" s="7">
        <f>CI140</f>
        <v>0</v>
      </c>
      <c r="CK140" s="7"/>
      <c r="CL140" s="7">
        <f>CK140</f>
        <v>0</v>
      </c>
      <c r="CM140" s="7"/>
      <c r="CN140" s="7"/>
      <c r="CO140" s="7">
        <f t="shared" si="175"/>
        <v>0</v>
      </c>
      <c r="CP140" s="7">
        <f>CI140+CK140+CM140</f>
        <v>0</v>
      </c>
      <c r="CQ140" s="7">
        <f>CJ140+CL140+CO140</f>
        <v>0</v>
      </c>
      <c r="CR140" s="7"/>
      <c r="CS140" s="7"/>
      <c r="CT140" s="7">
        <f>CR140+CS140</f>
        <v>0</v>
      </c>
      <c r="CU140" s="7"/>
      <c r="CV140" s="7"/>
      <c r="CW140" s="7">
        <f t="shared" si="176"/>
        <v>0</v>
      </c>
      <c r="CX140" s="7"/>
      <c r="CY140" s="7"/>
      <c r="CZ140" s="7">
        <f t="shared" si="177"/>
        <v>0</v>
      </c>
      <c r="DA140" s="7"/>
      <c r="DB140" s="7">
        <f>DA140</f>
        <v>0</v>
      </c>
      <c r="DC140" s="7"/>
      <c r="DD140" s="7">
        <f>DC140</f>
        <v>0</v>
      </c>
      <c r="DE140" s="7"/>
      <c r="DF140" s="7">
        <f>DE140</f>
        <v>0</v>
      </c>
      <c r="DG140" s="7"/>
      <c r="DH140" s="7">
        <f>DG140</f>
        <v>0</v>
      </c>
      <c r="DI140" s="7"/>
      <c r="DJ140" s="7">
        <f>DI140</f>
        <v>0</v>
      </c>
      <c r="DK140" s="7"/>
      <c r="DL140" s="7">
        <f>DK140</f>
        <v>0</v>
      </c>
      <c r="DM140" s="7">
        <v>0</v>
      </c>
      <c r="DN140" s="14">
        <f t="shared" si="178"/>
        <v>0</v>
      </c>
      <c r="DO140" s="14">
        <f t="shared" si="179"/>
        <v>0</v>
      </c>
      <c r="DP140" s="7"/>
      <c r="DQ140" s="7">
        <f t="shared" si="180"/>
        <v>0</v>
      </c>
      <c r="DR140" s="7">
        <f t="shared" si="181"/>
        <v>0</v>
      </c>
      <c r="DS140" s="15" t="e">
        <f t="shared" si="173"/>
        <v>#DIV/0!</v>
      </c>
      <c r="DT140" s="15" t="e">
        <f t="shared" si="174"/>
        <v>#DIV/0!</v>
      </c>
      <c r="DU140" s="7"/>
      <c r="DV140" s="7"/>
      <c r="DW140" s="7">
        <f>5000000+5000000</f>
        <v>10000000</v>
      </c>
      <c r="DX140" s="27"/>
      <c r="DY140" s="329"/>
    </row>
    <row r="141" spans="1:129" s="10" customFormat="1">
      <c r="A141" s="24" t="s">
        <v>83</v>
      </c>
      <c r="B141" s="12" t="s">
        <v>18</v>
      </c>
      <c r="C141" s="24" t="s">
        <v>243</v>
      </c>
      <c r="D141" s="10" t="s">
        <v>75</v>
      </c>
      <c r="E141" s="3">
        <v>765010</v>
      </c>
      <c r="F141" s="406">
        <v>4</v>
      </c>
      <c r="G141" s="406">
        <v>36</v>
      </c>
      <c r="H141" s="406">
        <v>1544</v>
      </c>
      <c r="I141" s="9" t="s">
        <v>324</v>
      </c>
      <c r="J141" s="10" t="s">
        <v>75</v>
      </c>
      <c r="K141" s="3">
        <v>4</v>
      </c>
      <c r="L141" s="3">
        <v>36</v>
      </c>
      <c r="M141" s="45"/>
      <c r="N141" s="3" t="s">
        <v>186</v>
      </c>
      <c r="O141" s="3" t="s">
        <v>192</v>
      </c>
      <c r="P141" s="3" t="s">
        <v>187</v>
      </c>
      <c r="Q141" s="3" t="s">
        <v>187</v>
      </c>
      <c r="R141" s="3">
        <v>160</v>
      </c>
      <c r="S141" s="3" t="s">
        <v>188</v>
      </c>
      <c r="T141" s="12" t="s">
        <v>28</v>
      </c>
      <c r="U141" s="12"/>
      <c r="V141" s="12" t="s">
        <v>222</v>
      </c>
      <c r="W141" s="12" t="s">
        <v>2</v>
      </c>
      <c r="X141" s="8" t="s">
        <v>18</v>
      </c>
      <c r="Y141" s="25" t="s">
        <v>69</v>
      </c>
      <c r="Z141" s="25" t="s">
        <v>179</v>
      </c>
      <c r="AA141" s="10" t="s">
        <v>248</v>
      </c>
      <c r="AB141" s="110" t="s">
        <v>37</v>
      </c>
      <c r="AC141" s="7">
        <v>4000000</v>
      </c>
      <c r="AD141" s="7"/>
      <c r="AE141" s="7">
        <f>AC141+AD141</f>
        <v>4000000</v>
      </c>
      <c r="AF141" s="7">
        <v>1800000</v>
      </c>
      <c r="AG141" s="7">
        <f t="shared" si="153"/>
        <v>5800000</v>
      </c>
      <c r="AH141" s="7">
        <v>-5384413</v>
      </c>
      <c r="AI141" s="7">
        <f t="shared" si="154"/>
        <v>415587</v>
      </c>
      <c r="AJ141" s="62"/>
      <c r="AK141" s="7">
        <v>2250000</v>
      </c>
      <c r="AL141" s="33">
        <v>0</v>
      </c>
      <c r="AM141" s="7">
        <v>0</v>
      </c>
      <c r="AN141" s="7">
        <f t="shared" si="155"/>
        <v>0</v>
      </c>
      <c r="AO141" s="7"/>
      <c r="AP141" s="7"/>
      <c r="AQ141" s="7">
        <f t="shared" si="156"/>
        <v>0</v>
      </c>
      <c r="AR141" s="7"/>
      <c r="AS141" s="7"/>
      <c r="AT141" s="7">
        <f t="shared" si="157"/>
        <v>0</v>
      </c>
      <c r="AU141" s="7"/>
      <c r="AV141" s="7"/>
      <c r="AW141" s="7">
        <f t="shared" si="158"/>
        <v>0</v>
      </c>
      <c r="AX141" s="7"/>
      <c r="AY141" s="7"/>
      <c r="AZ141" s="7">
        <f t="shared" si="159"/>
        <v>0</v>
      </c>
      <c r="BA141" s="7"/>
      <c r="BB141" s="7"/>
      <c r="BC141" s="7">
        <f t="shared" si="160"/>
        <v>0</v>
      </c>
      <c r="BD141" s="7"/>
      <c r="BE141" s="7"/>
      <c r="BF141" s="7">
        <f t="shared" si="161"/>
        <v>0</v>
      </c>
      <c r="BG141" s="7"/>
      <c r="BH141" s="7"/>
      <c r="BI141" s="7">
        <f t="shared" si="162"/>
        <v>0</v>
      </c>
      <c r="BJ141" s="7"/>
      <c r="BK141" s="7"/>
      <c r="BL141" s="7">
        <f t="shared" si="163"/>
        <v>0</v>
      </c>
      <c r="BM141" s="7"/>
      <c r="BN141" s="7"/>
      <c r="BO141" s="7">
        <f t="shared" si="164"/>
        <v>0</v>
      </c>
      <c r="BP141" s="7"/>
      <c r="BQ141" s="7"/>
      <c r="BR141" s="7">
        <f t="shared" si="165"/>
        <v>0</v>
      </c>
      <c r="BS141" s="7"/>
      <c r="BT141" s="7"/>
      <c r="BU141" s="7">
        <f t="shared" si="166"/>
        <v>0</v>
      </c>
      <c r="BV141" s="7">
        <v>0</v>
      </c>
      <c r="BW141" s="7">
        <f t="shared" si="167"/>
        <v>0</v>
      </c>
      <c r="BX141" s="7">
        <f t="shared" si="168"/>
        <v>0</v>
      </c>
      <c r="BY141" s="7"/>
      <c r="BZ141" s="7">
        <f t="shared" si="169"/>
        <v>2250000</v>
      </c>
      <c r="CA141" s="7">
        <f t="shared" si="170"/>
        <v>2250000</v>
      </c>
      <c r="CB141" s="15">
        <f t="shared" si="171"/>
        <v>0</v>
      </c>
      <c r="CC141" s="15">
        <f t="shared" si="172"/>
        <v>0</v>
      </c>
      <c r="CD141" s="489" t="s">
        <v>746</v>
      </c>
      <c r="CE141" s="7">
        <v>4750000</v>
      </c>
      <c r="CF141" s="7">
        <v>4750000</v>
      </c>
      <c r="CG141" s="7"/>
      <c r="CH141" s="7"/>
      <c r="CI141" s="7"/>
      <c r="CJ141" s="7">
        <f>CI141</f>
        <v>0</v>
      </c>
      <c r="CK141" s="7"/>
      <c r="CL141" s="7">
        <f>CK141</f>
        <v>0</v>
      </c>
      <c r="CM141" s="7"/>
      <c r="CN141" s="7">
        <v>0</v>
      </c>
      <c r="CO141" s="7">
        <f t="shared" si="175"/>
        <v>0</v>
      </c>
      <c r="CP141" s="7">
        <f>CI141+CK141+CM141</f>
        <v>0</v>
      </c>
      <c r="CQ141" s="7">
        <f>CJ141+CL141+CO141</f>
        <v>0</v>
      </c>
      <c r="CR141" s="7"/>
      <c r="CS141" s="7"/>
      <c r="CT141" s="7">
        <f>CR141+CS141</f>
        <v>0</v>
      </c>
      <c r="CU141" s="7">
        <v>2111.29</v>
      </c>
      <c r="CV141" s="7">
        <v>295.58</v>
      </c>
      <c r="CW141" s="7">
        <f t="shared" si="176"/>
        <v>2406.87</v>
      </c>
      <c r="CX141" s="7"/>
      <c r="CY141" s="7"/>
      <c r="CZ141" s="7">
        <f t="shared" si="177"/>
        <v>0</v>
      </c>
      <c r="DA141" s="7"/>
      <c r="DB141" s="7">
        <f>DA141</f>
        <v>0</v>
      </c>
      <c r="DC141" s="7"/>
      <c r="DD141" s="7">
        <f>DC141</f>
        <v>0</v>
      </c>
      <c r="DE141" s="7"/>
      <c r="DF141" s="7">
        <f>DE141</f>
        <v>0</v>
      </c>
      <c r="DG141" s="7"/>
      <c r="DH141" s="7">
        <f>DG141</f>
        <v>0</v>
      </c>
      <c r="DI141" s="7"/>
      <c r="DJ141" s="7">
        <f>DI141</f>
        <v>0</v>
      </c>
      <c r="DK141" s="7"/>
      <c r="DL141" s="7">
        <f>DK141</f>
        <v>0</v>
      </c>
      <c r="DM141" s="7"/>
      <c r="DN141" s="14">
        <f t="shared" si="178"/>
        <v>2111.29</v>
      </c>
      <c r="DO141" s="14">
        <f t="shared" si="179"/>
        <v>2406.87</v>
      </c>
      <c r="DP141" s="7"/>
      <c r="DQ141" s="7">
        <f t="shared" si="180"/>
        <v>5797888.71</v>
      </c>
      <c r="DR141" s="7">
        <f t="shared" si="181"/>
        <v>5797593.1299999999</v>
      </c>
      <c r="DS141" s="15">
        <f t="shared" si="173"/>
        <v>3.6401551724137932E-4</v>
      </c>
      <c r="DT141" s="15">
        <f t="shared" si="174"/>
        <v>4.1497758620689652E-4</v>
      </c>
      <c r="DU141" s="7"/>
      <c r="DV141" s="7"/>
      <c r="DW141" s="7"/>
      <c r="DX141" s="27"/>
      <c r="DY141" s="329"/>
    </row>
    <row r="142" spans="1:129" s="10" customFormat="1" ht="46.5" customHeight="1">
      <c r="A142" s="24" t="s">
        <v>83</v>
      </c>
      <c r="B142" s="12" t="s">
        <v>18</v>
      </c>
      <c r="C142" s="24" t="s">
        <v>243</v>
      </c>
      <c r="D142" s="10" t="s">
        <v>75</v>
      </c>
      <c r="E142" s="3">
        <v>765010</v>
      </c>
      <c r="F142" s="406">
        <v>4</v>
      </c>
      <c r="G142" s="406">
        <v>36</v>
      </c>
      <c r="H142" s="406">
        <v>1545</v>
      </c>
      <c r="I142" s="9" t="s">
        <v>324</v>
      </c>
      <c r="J142" s="10" t="s">
        <v>75</v>
      </c>
      <c r="K142" s="3">
        <v>4</v>
      </c>
      <c r="L142" s="3">
        <v>36</v>
      </c>
      <c r="M142" s="45"/>
      <c r="N142" s="3" t="s">
        <v>186</v>
      </c>
      <c r="O142" s="3" t="s">
        <v>192</v>
      </c>
      <c r="P142" s="3" t="s">
        <v>187</v>
      </c>
      <c r="Q142" s="3" t="s">
        <v>187</v>
      </c>
      <c r="R142" s="3">
        <v>160</v>
      </c>
      <c r="S142" s="3" t="s">
        <v>188</v>
      </c>
      <c r="T142" s="12" t="s">
        <v>28</v>
      </c>
      <c r="U142" s="12"/>
      <c r="V142" s="12" t="s">
        <v>222</v>
      </c>
      <c r="W142" s="12" t="s">
        <v>2</v>
      </c>
      <c r="X142" s="8" t="s">
        <v>18</v>
      </c>
      <c r="Y142" s="25" t="s">
        <v>69</v>
      </c>
      <c r="Z142" s="25" t="s">
        <v>179</v>
      </c>
      <c r="AA142" s="10" t="s">
        <v>249</v>
      </c>
      <c r="AB142" s="110" t="s">
        <v>37</v>
      </c>
      <c r="AC142" s="7">
        <v>5000000</v>
      </c>
      <c r="AD142" s="7"/>
      <c r="AE142" s="7">
        <f>AC142+AD142</f>
        <v>5000000</v>
      </c>
      <c r="AF142" s="7">
        <v>-1000000</v>
      </c>
      <c r="AG142" s="7">
        <f t="shared" si="153"/>
        <v>4000000</v>
      </c>
      <c r="AH142" s="7">
        <v>-2500000</v>
      </c>
      <c r="AI142" s="7">
        <f t="shared" si="154"/>
        <v>1500000</v>
      </c>
      <c r="AJ142" s="62"/>
      <c r="AK142" s="7">
        <v>3000000</v>
      </c>
      <c r="AL142" s="33">
        <v>0</v>
      </c>
      <c r="AM142" s="7">
        <v>0</v>
      </c>
      <c r="AN142" s="7">
        <f t="shared" si="155"/>
        <v>0</v>
      </c>
      <c r="AO142" s="7"/>
      <c r="AP142" s="7"/>
      <c r="AQ142" s="7">
        <f t="shared" si="156"/>
        <v>0</v>
      </c>
      <c r="AR142" s="7"/>
      <c r="AS142" s="7"/>
      <c r="AT142" s="7">
        <f t="shared" si="157"/>
        <v>0</v>
      </c>
      <c r="AU142" s="7"/>
      <c r="AV142" s="7"/>
      <c r="AW142" s="7">
        <f t="shared" si="158"/>
        <v>0</v>
      </c>
      <c r="AX142" s="7"/>
      <c r="AY142" s="7"/>
      <c r="AZ142" s="7">
        <f t="shared" si="159"/>
        <v>0</v>
      </c>
      <c r="BA142" s="7"/>
      <c r="BB142" s="7"/>
      <c r="BC142" s="7">
        <f t="shared" si="160"/>
        <v>0</v>
      </c>
      <c r="BD142" s="7"/>
      <c r="BE142" s="7"/>
      <c r="BF142" s="7">
        <f t="shared" si="161"/>
        <v>0</v>
      </c>
      <c r="BG142" s="7"/>
      <c r="BH142" s="7"/>
      <c r="BI142" s="7">
        <f t="shared" si="162"/>
        <v>0</v>
      </c>
      <c r="BJ142" s="7"/>
      <c r="BK142" s="7"/>
      <c r="BL142" s="7">
        <f t="shared" si="163"/>
        <v>0</v>
      </c>
      <c r="BM142" s="7"/>
      <c r="BN142" s="7"/>
      <c r="BO142" s="7">
        <f t="shared" si="164"/>
        <v>0</v>
      </c>
      <c r="BP142" s="7"/>
      <c r="BQ142" s="7"/>
      <c r="BR142" s="7">
        <f t="shared" si="165"/>
        <v>0</v>
      </c>
      <c r="BS142" s="7"/>
      <c r="BT142" s="7"/>
      <c r="BU142" s="7">
        <f t="shared" si="166"/>
        <v>0</v>
      </c>
      <c r="BV142" s="7">
        <v>746098.5</v>
      </c>
      <c r="BW142" s="7">
        <f t="shared" si="167"/>
        <v>0</v>
      </c>
      <c r="BX142" s="7">
        <f t="shared" si="168"/>
        <v>0</v>
      </c>
      <c r="BY142" s="7"/>
      <c r="BZ142" s="7">
        <f t="shared" si="169"/>
        <v>3000000</v>
      </c>
      <c r="CA142" s="7">
        <f t="shared" si="170"/>
        <v>3000000</v>
      </c>
      <c r="CB142" s="15">
        <f t="shared" si="171"/>
        <v>0</v>
      </c>
      <c r="CC142" s="15">
        <f t="shared" si="172"/>
        <v>0</v>
      </c>
      <c r="CD142" s="489" t="s">
        <v>691</v>
      </c>
      <c r="CE142" s="7">
        <v>0</v>
      </c>
      <c r="CF142" s="7">
        <v>0</v>
      </c>
      <c r="CG142" s="7"/>
      <c r="CH142" s="7"/>
      <c r="CI142" s="7"/>
      <c r="CJ142" s="7">
        <f>CI142</f>
        <v>0</v>
      </c>
      <c r="CK142" s="7"/>
      <c r="CL142" s="7">
        <f>CK142</f>
        <v>0</v>
      </c>
      <c r="CM142" s="7">
        <v>7827.24</v>
      </c>
      <c r="CN142" s="7">
        <v>1095.81</v>
      </c>
      <c r="CO142" s="7">
        <f t="shared" si="175"/>
        <v>8923.0499999999993</v>
      </c>
      <c r="CP142" s="7">
        <f>CI142+CK142+CM142</f>
        <v>7827.24</v>
      </c>
      <c r="CQ142" s="7">
        <f>CJ142+CL142+CO142</f>
        <v>8923.0499999999993</v>
      </c>
      <c r="CR142" s="7"/>
      <c r="CS142" s="7"/>
      <c r="CT142" s="7">
        <f>CR142+CS142</f>
        <v>0</v>
      </c>
      <c r="CU142" s="7"/>
      <c r="CV142" s="7"/>
      <c r="CW142" s="7">
        <f t="shared" si="176"/>
        <v>0</v>
      </c>
      <c r="CX142" s="7"/>
      <c r="CY142" s="7"/>
      <c r="CZ142" s="7">
        <f t="shared" si="177"/>
        <v>0</v>
      </c>
      <c r="DA142" s="7"/>
      <c r="DB142" s="7">
        <f>DA142</f>
        <v>0</v>
      </c>
      <c r="DC142" s="7"/>
      <c r="DD142" s="7">
        <f>DC142</f>
        <v>0</v>
      </c>
      <c r="DE142" s="7"/>
      <c r="DF142" s="7">
        <f>DE142</f>
        <v>0</v>
      </c>
      <c r="DG142" s="7"/>
      <c r="DH142" s="7">
        <f>DG142</f>
        <v>0</v>
      </c>
      <c r="DI142" s="7"/>
      <c r="DJ142" s="7">
        <f>DI142</f>
        <v>0</v>
      </c>
      <c r="DK142" s="7"/>
      <c r="DL142" s="7">
        <f>DK142</f>
        <v>0</v>
      </c>
      <c r="DM142" s="7"/>
      <c r="DN142" s="14">
        <f t="shared" si="178"/>
        <v>7827.24</v>
      </c>
      <c r="DO142" s="14">
        <f t="shared" si="179"/>
        <v>8923.0499999999993</v>
      </c>
      <c r="DP142" s="7"/>
      <c r="DQ142" s="7">
        <f t="shared" si="180"/>
        <v>3992172.76</v>
      </c>
      <c r="DR142" s="7">
        <f t="shared" si="181"/>
        <v>3991076.95</v>
      </c>
      <c r="DS142" s="15">
        <f t="shared" si="173"/>
        <v>1.9568099999999998E-3</v>
      </c>
      <c r="DT142" s="15">
        <f t="shared" si="174"/>
        <v>2.2307625E-3</v>
      </c>
      <c r="DU142" s="7"/>
      <c r="DV142" s="7"/>
      <c r="DW142" s="7"/>
      <c r="DX142" s="27"/>
      <c r="DY142" s="329"/>
    </row>
    <row r="143" spans="1:129" s="10" customFormat="1" ht="30.75">
      <c r="A143" s="24" t="s">
        <v>83</v>
      </c>
      <c r="B143" s="12" t="s">
        <v>18</v>
      </c>
      <c r="C143" s="24" t="s">
        <v>243</v>
      </c>
      <c r="E143" s="3">
        <v>765010</v>
      </c>
      <c r="F143" s="406">
        <v>4</v>
      </c>
      <c r="G143" s="406">
        <v>36</v>
      </c>
      <c r="H143" s="406">
        <v>1546</v>
      </c>
      <c r="I143" s="9" t="s">
        <v>324</v>
      </c>
      <c r="J143" s="10" t="s">
        <v>75</v>
      </c>
      <c r="K143" s="3">
        <v>4</v>
      </c>
      <c r="L143" s="11">
        <v>36</v>
      </c>
      <c r="M143" s="45"/>
      <c r="N143" s="11" t="s">
        <v>186</v>
      </c>
      <c r="O143" s="11" t="s">
        <v>192</v>
      </c>
      <c r="P143" s="11" t="s">
        <v>187</v>
      </c>
      <c r="Q143" s="3" t="s">
        <v>187</v>
      </c>
      <c r="R143" s="3">
        <v>160</v>
      </c>
      <c r="S143" s="3" t="s">
        <v>188</v>
      </c>
      <c r="T143" s="12" t="s">
        <v>28</v>
      </c>
      <c r="U143" s="12"/>
      <c r="V143" s="12" t="s">
        <v>222</v>
      </c>
      <c r="W143" s="12"/>
      <c r="X143" s="8"/>
      <c r="Y143" s="25" t="s">
        <v>69</v>
      </c>
      <c r="Z143" s="25"/>
      <c r="AA143" s="10" t="s">
        <v>503</v>
      </c>
      <c r="AB143" s="12" t="s">
        <v>37</v>
      </c>
      <c r="AC143" s="7"/>
      <c r="AD143" s="7"/>
      <c r="AE143" s="7"/>
      <c r="AF143" s="7"/>
      <c r="AG143" s="7"/>
      <c r="AH143" s="7"/>
      <c r="AI143" s="7"/>
      <c r="AJ143" s="62"/>
      <c r="AK143" s="7">
        <v>1000000</v>
      </c>
      <c r="AL143" s="33">
        <v>0</v>
      </c>
      <c r="AM143" s="7">
        <v>0</v>
      </c>
      <c r="AN143" s="7">
        <f>AL143+AM143</f>
        <v>0</v>
      </c>
      <c r="AO143" s="7"/>
      <c r="AP143" s="7"/>
      <c r="AQ143" s="7">
        <f>AO143+AP143</f>
        <v>0</v>
      </c>
      <c r="AR143" s="7"/>
      <c r="AS143" s="7"/>
      <c r="AT143" s="7">
        <f>AR143+AS143</f>
        <v>0</v>
      </c>
      <c r="AU143" s="7"/>
      <c r="AV143" s="7"/>
      <c r="AW143" s="7">
        <f>AU143+AV143</f>
        <v>0</v>
      </c>
      <c r="AX143" s="7"/>
      <c r="AY143" s="7"/>
      <c r="AZ143" s="7">
        <f>AX143+AY143</f>
        <v>0</v>
      </c>
      <c r="BA143" s="7"/>
      <c r="BB143" s="7"/>
      <c r="BC143" s="7">
        <f>BA143+BB143</f>
        <v>0</v>
      </c>
      <c r="BD143" s="7"/>
      <c r="BE143" s="7"/>
      <c r="BF143" s="7">
        <f>BD143+BE143</f>
        <v>0</v>
      </c>
      <c r="BG143" s="7"/>
      <c r="BH143" s="7"/>
      <c r="BI143" s="7">
        <f>BG143+BH143</f>
        <v>0</v>
      </c>
      <c r="BJ143" s="7"/>
      <c r="BK143" s="7"/>
      <c r="BL143" s="7">
        <f>BJ143+BK143</f>
        <v>0</v>
      </c>
      <c r="BM143" s="7"/>
      <c r="BN143" s="7"/>
      <c r="BO143" s="7">
        <f>BM143+BN143</f>
        <v>0</v>
      </c>
      <c r="BP143" s="7"/>
      <c r="BQ143" s="7"/>
      <c r="BR143" s="7">
        <f>BP143+BQ143</f>
        <v>0</v>
      </c>
      <c r="BS143" s="7"/>
      <c r="BT143" s="7"/>
      <c r="BU143" s="7">
        <f>BS143+BT143</f>
        <v>0</v>
      </c>
      <c r="BV143" s="7">
        <v>0</v>
      </c>
      <c r="BW143" s="7">
        <f>AL143+AO143+AR143++AU143+AX143+BA143+BD143+BG143+BJ143+BM143+BP143+BS143</f>
        <v>0</v>
      </c>
      <c r="BX143" s="7">
        <f>AN143+AQ143+AT143+AW143+AZ143+BC143+BF143+BI143+BL143+BO143+BR143+BU143</f>
        <v>0</v>
      </c>
      <c r="BY143" s="7"/>
      <c r="BZ143" s="7">
        <f>AK143-BW143</f>
        <v>1000000</v>
      </c>
      <c r="CA143" s="7">
        <f>AK143-BX143</f>
        <v>1000000</v>
      </c>
      <c r="CB143" s="15">
        <f>BW143/AK143</f>
        <v>0</v>
      </c>
      <c r="CC143" s="15">
        <f>BX143/AK143</f>
        <v>0</v>
      </c>
      <c r="CD143" s="489" t="s">
        <v>747</v>
      </c>
      <c r="CE143" s="7">
        <v>1500000</v>
      </c>
      <c r="CF143" s="7">
        <v>0</v>
      </c>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14"/>
      <c r="DO143" s="14"/>
      <c r="DP143" s="7"/>
      <c r="DQ143" s="7"/>
      <c r="DR143" s="7"/>
      <c r="DS143" s="15"/>
      <c r="DT143" s="15"/>
      <c r="DU143" s="15"/>
      <c r="DV143" s="15"/>
      <c r="DW143" s="7"/>
      <c r="DX143" s="27"/>
      <c r="DY143" s="329"/>
    </row>
    <row r="144" spans="1:129" s="10" customFormat="1" ht="17.25" customHeight="1">
      <c r="A144" s="24" t="s">
        <v>83</v>
      </c>
      <c r="B144" s="12" t="s">
        <v>681</v>
      </c>
      <c r="C144" s="24" t="s">
        <v>658</v>
      </c>
      <c r="E144" s="3">
        <v>765015</v>
      </c>
      <c r="F144" s="406">
        <v>4</v>
      </c>
      <c r="G144" s="412" t="s">
        <v>187</v>
      </c>
      <c r="H144" s="406">
        <v>1547</v>
      </c>
      <c r="I144" s="9" t="s">
        <v>324</v>
      </c>
      <c r="J144" s="10" t="s">
        <v>75</v>
      </c>
      <c r="K144" s="3">
        <v>4</v>
      </c>
      <c r="L144" s="11" t="s">
        <v>187</v>
      </c>
      <c r="M144" s="45"/>
      <c r="N144" s="11" t="s">
        <v>186</v>
      </c>
      <c r="O144" s="11" t="s">
        <v>192</v>
      </c>
      <c r="P144" s="11" t="s">
        <v>187</v>
      </c>
      <c r="Q144" s="3" t="s">
        <v>187</v>
      </c>
      <c r="R144" s="3">
        <v>160</v>
      </c>
      <c r="S144" s="3" t="s">
        <v>188</v>
      </c>
      <c r="T144" s="12" t="s">
        <v>28</v>
      </c>
      <c r="U144" s="12"/>
      <c r="V144" s="12" t="s">
        <v>222</v>
      </c>
      <c r="W144" s="12"/>
      <c r="X144" s="8"/>
      <c r="Y144" s="25" t="s">
        <v>69</v>
      </c>
      <c r="Z144" s="25"/>
      <c r="AA144" s="10" t="s">
        <v>506</v>
      </c>
      <c r="AB144" s="12" t="s">
        <v>8</v>
      </c>
      <c r="AC144" s="7"/>
      <c r="AD144" s="7"/>
      <c r="AE144" s="7"/>
      <c r="AF144" s="7"/>
      <c r="AG144" s="7"/>
      <c r="AH144" s="7"/>
      <c r="AI144" s="7"/>
      <c r="AJ144" s="62"/>
      <c r="AK144" s="7">
        <v>2000000</v>
      </c>
      <c r="AL144" s="33">
        <v>0</v>
      </c>
      <c r="AM144" s="7">
        <v>0</v>
      </c>
      <c r="AN144" s="7">
        <f>AL144+AM144</f>
        <v>0</v>
      </c>
      <c r="AO144" s="7"/>
      <c r="AP144" s="7"/>
      <c r="AQ144" s="7">
        <f>AO144+AP144</f>
        <v>0</v>
      </c>
      <c r="AR144" s="7"/>
      <c r="AS144" s="7"/>
      <c r="AT144" s="7">
        <f>AR144+AS144</f>
        <v>0</v>
      </c>
      <c r="AU144" s="7"/>
      <c r="AV144" s="7"/>
      <c r="AW144" s="7">
        <f>AU144+AV144</f>
        <v>0</v>
      </c>
      <c r="AX144" s="7"/>
      <c r="AY144" s="7"/>
      <c r="AZ144" s="7">
        <f>AX144+AY144</f>
        <v>0</v>
      </c>
      <c r="BA144" s="7"/>
      <c r="BB144" s="7"/>
      <c r="BC144" s="7">
        <f>BA144+BB144</f>
        <v>0</v>
      </c>
      <c r="BD144" s="7"/>
      <c r="BE144" s="7"/>
      <c r="BF144" s="7">
        <f>BD144+BE144</f>
        <v>0</v>
      </c>
      <c r="BG144" s="7"/>
      <c r="BH144" s="7"/>
      <c r="BI144" s="7">
        <f>BG144+BH144</f>
        <v>0</v>
      </c>
      <c r="BJ144" s="7"/>
      <c r="BK144" s="7"/>
      <c r="BL144" s="7">
        <f>BJ144+BK144</f>
        <v>0</v>
      </c>
      <c r="BM144" s="7"/>
      <c r="BN144" s="7"/>
      <c r="BO144" s="7">
        <f>BM144+BN144</f>
        <v>0</v>
      </c>
      <c r="BP144" s="7"/>
      <c r="BQ144" s="7"/>
      <c r="BR144" s="7">
        <f>BP144+BQ144</f>
        <v>0</v>
      </c>
      <c r="BS144" s="7"/>
      <c r="BT144" s="7"/>
      <c r="BU144" s="7">
        <f>BS144+BT144</f>
        <v>0</v>
      </c>
      <c r="BV144" s="7">
        <v>0</v>
      </c>
      <c r="BW144" s="7">
        <f>AL144+AO144+AR144++AU144+AX144+BA144+BD144+BG144+BJ144+BM144+BP144+BS144</f>
        <v>0</v>
      </c>
      <c r="BX144" s="7">
        <f>AN144+AQ144+AT144+AW144+AZ144+BC144+BF144+BI144+BL144+BO144+BR144+BU144</f>
        <v>0</v>
      </c>
      <c r="BY144" s="7"/>
      <c r="BZ144" s="7">
        <f>AK144-BW144</f>
        <v>2000000</v>
      </c>
      <c r="CA144" s="7">
        <f>AK144-BX144</f>
        <v>2000000</v>
      </c>
      <c r="CB144" s="15">
        <f>BW144/AK144</f>
        <v>0</v>
      </c>
      <c r="CC144" s="15">
        <f>BX144/AK144</f>
        <v>0</v>
      </c>
      <c r="CD144" s="489" t="s">
        <v>692</v>
      </c>
      <c r="CE144" s="7">
        <v>2500000</v>
      </c>
      <c r="CF144" s="7">
        <v>0</v>
      </c>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14"/>
      <c r="DO144" s="14"/>
      <c r="DP144" s="7"/>
      <c r="DQ144" s="7"/>
      <c r="DR144" s="7"/>
      <c r="DS144" s="15"/>
      <c r="DT144" s="15"/>
      <c r="DU144" s="15"/>
      <c r="DV144" s="15"/>
      <c r="DW144" s="7"/>
      <c r="DX144" s="27"/>
      <c r="DY144" s="329"/>
    </row>
    <row r="145" spans="1:129" s="10" customFormat="1" ht="30.75">
      <c r="A145" s="24" t="s">
        <v>83</v>
      </c>
      <c r="B145" s="12" t="s">
        <v>680</v>
      </c>
      <c r="C145" s="24" t="s">
        <v>657</v>
      </c>
      <c r="E145" s="3">
        <v>765020</v>
      </c>
      <c r="F145" s="406">
        <v>4</v>
      </c>
      <c r="G145" s="406">
        <v>36</v>
      </c>
      <c r="H145" s="406">
        <v>1547</v>
      </c>
      <c r="I145" s="9" t="s">
        <v>324</v>
      </c>
      <c r="J145" s="10" t="s">
        <v>75</v>
      </c>
      <c r="K145" s="3">
        <v>4</v>
      </c>
      <c r="L145" s="11">
        <v>36</v>
      </c>
      <c r="M145" s="45"/>
      <c r="N145" s="11" t="s">
        <v>186</v>
      </c>
      <c r="O145" s="11" t="s">
        <v>192</v>
      </c>
      <c r="P145" s="11" t="s">
        <v>187</v>
      </c>
      <c r="Q145" s="3" t="s">
        <v>187</v>
      </c>
      <c r="R145" s="3">
        <v>190</v>
      </c>
      <c r="S145" s="3" t="s">
        <v>188</v>
      </c>
      <c r="T145" s="12" t="s">
        <v>288</v>
      </c>
      <c r="U145" s="12"/>
      <c r="V145" s="12" t="s">
        <v>222</v>
      </c>
      <c r="W145" s="12"/>
      <c r="X145" s="8"/>
      <c r="Y145" s="25" t="s">
        <v>69</v>
      </c>
      <c r="Z145" s="25"/>
      <c r="AA145" s="10" t="s">
        <v>504</v>
      </c>
      <c r="AB145" s="12" t="s">
        <v>37</v>
      </c>
      <c r="AC145" s="7"/>
      <c r="AD145" s="7"/>
      <c r="AE145" s="7"/>
      <c r="AF145" s="7"/>
      <c r="AG145" s="7"/>
      <c r="AH145" s="7"/>
      <c r="AI145" s="7"/>
      <c r="AJ145" s="62"/>
      <c r="AK145" s="7">
        <v>1000000</v>
      </c>
      <c r="AL145" s="33">
        <v>0</v>
      </c>
      <c r="AM145" s="7">
        <v>0</v>
      </c>
      <c r="AN145" s="7">
        <f>AL145+AM145</f>
        <v>0</v>
      </c>
      <c r="AO145" s="7"/>
      <c r="AP145" s="7"/>
      <c r="AQ145" s="7">
        <f>AO145+AP145</f>
        <v>0</v>
      </c>
      <c r="AR145" s="7"/>
      <c r="AS145" s="7"/>
      <c r="AT145" s="7">
        <f>AR145+AS145</f>
        <v>0</v>
      </c>
      <c r="AU145" s="7"/>
      <c r="AV145" s="7"/>
      <c r="AW145" s="7">
        <f>AU145+AV145</f>
        <v>0</v>
      </c>
      <c r="AX145" s="7"/>
      <c r="AY145" s="7"/>
      <c r="AZ145" s="7">
        <f>AX145+AY145</f>
        <v>0</v>
      </c>
      <c r="BA145" s="7"/>
      <c r="BB145" s="7"/>
      <c r="BC145" s="7">
        <f>BA145+BB145</f>
        <v>0</v>
      </c>
      <c r="BD145" s="7"/>
      <c r="BE145" s="7"/>
      <c r="BF145" s="7">
        <f>BD145+BE145</f>
        <v>0</v>
      </c>
      <c r="BG145" s="7"/>
      <c r="BH145" s="7"/>
      <c r="BI145" s="7">
        <f>BG145+BH145</f>
        <v>0</v>
      </c>
      <c r="BJ145" s="7"/>
      <c r="BK145" s="7"/>
      <c r="BL145" s="7">
        <f>BJ145+BK145</f>
        <v>0</v>
      </c>
      <c r="BM145" s="7"/>
      <c r="BN145" s="7"/>
      <c r="BO145" s="7">
        <f>BM145+BN145</f>
        <v>0</v>
      </c>
      <c r="BP145" s="7"/>
      <c r="BQ145" s="7"/>
      <c r="BR145" s="7">
        <f>BP145+BQ145</f>
        <v>0</v>
      </c>
      <c r="BS145" s="7"/>
      <c r="BT145" s="7"/>
      <c r="BU145" s="7">
        <f>BS145+BT145</f>
        <v>0</v>
      </c>
      <c r="BV145" s="7">
        <v>0</v>
      </c>
      <c r="BW145" s="7">
        <f>AL145+AO145+AR145++AU145+AX145+BA145+BD145+BG145+BJ145+BM145+BP145+BS145</f>
        <v>0</v>
      </c>
      <c r="BX145" s="7">
        <f>AN145+AQ145+AT145+AW145+AZ145+BC145+BF145+BI145+BL145+BO145+BR145+BU145</f>
        <v>0</v>
      </c>
      <c r="BY145" s="7"/>
      <c r="BZ145" s="7">
        <f>AK145-BW145</f>
        <v>1000000</v>
      </c>
      <c r="CA145" s="7">
        <f>AK145-BX145</f>
        <v>1000000</v>
      </c>
      <c r="CB145" s="15">
        <f>BW145/AK145</f>
        <v>0</v>
      </c>
      <c r="CC145" s="15">
        <f>BX145/AK145</f>
        <v>0</v>
      </c>
      <c r="CD145" s="489" t="s">
        <v>693</v>
      </c>
      <c r="CE145" s="7">
        <v>5000000</v>
      </c>
      <c r="CF145" s="7">
        <v>10000000</v>
      </c>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14"/>
      <c r="DO145" s="14"/>
      <c r="DP145" s="7"/>
      <c r="DQ145" s="7"/>
      <c r="DR145" s="7"/>
      <c r="DS145" s="15"/>
      <c r="DT145" s="15"/>
      <c r="DU145" s="15"/>
      <c r="DV145" s="15"/>
      <c r="DW145" s="7"/>
      <c r="DX145" s="27"/>
      <c r="DY145" s="329"/>
    </row>
    <row r="146" spans="1:129" s="10" customFormat="1" ht="17.25" customHeight="1">
      <c r="A146" s="24" t="s">
        <v>83</v>
      </c>
      <c r="B146" s="12" t="s">
        <v>679</v>
      </c>
      <c r="C146" s="24" t="s">
        <v>656</v>
      </c>
      <c r="E146" s="3">
        <v>765025</v>
      </c>
      <c r="F146" s="406">
        <v>4</v>
      </c>
      <c r="G146" s="412" t="s">
        <v>187</v>
      </c>
      <c r="H146" s="406">
        <v>1548</v>
      </c>
      <c r="I146" s="9" t="s">
        <v>324</v>
      </c>
      <c r="J146" s="10" t="s">
        <v>75</v>
      </c>
      <c r="K146" s="3">
        <v>4</v>
      </c>
      <c r="L146" s="11" t="s">
        <v>187</v>
      </c>
      <c r="M146" s="45"/>
      <c r="N146" s="11" t="s">
        <v>186</v>
      </c>
      <c r="O146" s="11" t="s">
        <v>192</v>
      </c>
      <c r="P146" s="11" t="s">
        <v>187</v>
      </c>
      <c r="Q146" s="3" t="s">
        <v>187</v>
      </c>
      <c r="R146" s="3">
        <v>190</v>
      </c>
      <c r="S146" s="3" t="s">
        <v>188</v>
      </c>
      <c r="T146" s="12" t="s">
        <v>288</v>
      </c>
      <c r="U146" s="12"/>
      <c r="V146" s="12" t="s">
        <v>222</v>
      </c>
      <c r="W146" s="12"/>
      <c r="X146" s="8"/>
      <c r="Y146" s="25" t="s">
        <v>69</v>
      </c>
      <c r="Z146" s="25"/>
      <c r="AA146" s="10" t="s">
        <v>502</v>
      </c>
      <c r="AB146" s="12" t="s">
        <v>8</v>
      </c>
      <c r="AC146" s="7"/>
      <c r="AD146" s="7"/>
      <c r="AE146" s="7"/>
      <c r="AF146" s="7"/>
      <c r="AG146" s="7"/>
      <c r="AH146" s="7"/>
      <c r="AI146" s="7"/>
      <c r="AJ146" s="62"/>
      <c r="AK146" s="7">
        <v>1000000</v>
      </c>
      <c r="AL146" s="33">
        <v>0</v>
      </c>
      <c r="AM146" s="7">
        <v>0</v>
      </c>
      <c r="AN146" s="7">
        <f t="shared" si="155"/>
        <v>0</v>
      </c>
      <c r="AO146" s="7"/>
      <c r="AP146" s="7"/>
      <c r="AQ146" s="7">
        <f t="shared" si="156"/>
        <v>0</v>
      </c>
      <c r="AR146" s="7"/>
      <c r="AS146" s="7"/>
      <c r="AT146" s="7">
        <f t="shared" si="157"/>
        <v>0</v>
      </c>
      <c r="AU146" s="7"/>
      <c r="AV146" s="7"/>
      <c r="AW146" s="7">
        <f t="shared" si="158"/>
        <v>0</v>
      </c>
      <c r="AX146" s="7"/>
      <c r="AY146" s="7"/>
      <c r="AZ146" s="7">
        <f t="shared" si="159"/>
        <v>0</v>
      </c>
      <c r="BA146" s="7"/>
      <c r="BB146" s="7"/>
      <c r="BC146" s="7">
        <f t="shared" si="160"/>
        <v>0</v>
      </c>
      <c r="BD146" s="7"/>
      <c r="BE146" s="7"/>
      <c r="BF146" s="7">
        <f t="shared" si="161"/>
        <v>0</v>
      </c>
      <c r="BG146" s="7"/>
      <c r="BH146" s="7"/>
      <c r="BI146" s="7">
        <f t="shared" si="162"/>
        <v>0</v>
      </c>
      <c r="BJ146" s="7"/>
      <c r="BK146" s="7"/>
      <c r="BL146" s="7">
        <f t="shared" si="163"/>
        <v>0</v>
      </c>
      <c r="BM146" s="7"/>
      <c r="BN146" s="7"/>
      <c r="BO146" s="7">
        <f t="shared" si="164"/>
        <v>0</v>
      </c>
      <c r="BP146" s="7"/>
      <c r="BQ146" s="7"/>
      <c r="BR146" s="7">
        <f t="shared" si="165"/>
        <v>0</v>
      </c>
      <c r="BS146" s="7"/>
      <c r="BT146" s="7"/>
      <c r="BU146" s="7">
        <f t="shared" si="166"/>
        <v>0</v>
      </c>
      <c r="BV146" s="7">
        <v>0</v>
      </c>
      <c r="BW146" s="7">
        <f t="shared" si="167"/>
        <v>0</v>
      </c>
      <c r="BX146" s="7">
        <f t="shared" si="168"/>
        <v>0</v>
      </c>
      <c r="BY146" s="7"/>
      <c r="BZ146" s="7">
        <f t="shared" si="169"/>
        <v>1000000</v>
      </c>
      <c r="CA146" s="7">
        <f t="shared" si="170"/>
        <v>1000000</v>
      </c>
      <c r="CB146" s="15">
        <f t="shared" si="171"/>
        <v>0</v>
      </c>
      <c r="CC146" s="15">
        <f t="shared" si="172"/>
        <v>0</v>
      </c>
      <c r="CD146" s="489" t="s">
        <v>692</v>
      </c>
      <c r="CE146" s="7">
        <v>1500000</v>
      </c>
      <c r="CF146" s="7">
        <v>0</v>
      </c>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14"/>
      <c r="DO146" s="14"/>
      <c r="DP146" s="7"/>
      <c r="DQ146" s="7"/>
      <c r="DR146" s="7"/>
      <c r="DS146" s="15"/>
      <c r="DT146" s="15"/>
      <c r="DU146" s="15"/>
      <c r="DV146" s="15"/>
      <c r="DW146" s="7"/>
      <c r="DX146" s="27"/>
      <c r="DY146" s="329"/>
    </row>
    <row r="147" spans="1:129" s="10" customFormat="1">
      <c r="A147" s="24" t="s">
        <v>83</v>
      </c>
      <c r="B147" s="12" t="s">
        <v>679</v>
      </c>
      <c r="C147" s="24" t="s">
        <v>243</v>
      </c>
      <c r="E147" s="3">
        <v>765025</v>
      </c>
      <c r="F147" s="406">
        <v>4</v>
      </c>
      <c r="G147" s="412" t="s">
        <v>187</v>
      </c>
      <c r="H147" s="406">
        <v>1549</v>
      </c>
      <c r="I147" s="9" t="s">
        <v>324</v>
      </c>
      <c r="J147" s="10" t="s">
        <v>75</v>
      </c>
      <c r="K147" s="3">
        <v>4</v>
      </c>
      <c r="L147" s="11" t="s">
        <v>187</v>
      </c>
      <c r="M147" s="45"/>
      <c r="N147" s="11" t="s">
        <v>186</v>
      </c>
      <c r="O147" s="11" t="s">
        <v>192</v>
      </c>
      <c r="P147" s="11" t="s">
        <v>187</v>
      </c>
      <c r="Q147" s="3" t="s">
        <v>187</v>
      </c>
      <c r="R147" s="3">
        <v>190</v>
      </c>
      <c r="S147" s="3" t="s">
        <v>188</v>
      </c>
      <c r="T147" s="12" t="s">
        <v>288</v>
      </c>
      <c r="U147" s="12"/>
      <c r="V147" s="12" t="s">
        <v>222</v>
      </c>
      <c r="W147" s="12"/>
      <c r="X147" s="8"/>
      <c r="Y147" s="25" t="s">
        <v>69</v>
      </c>
      <c r="Z147" s="25"/>
      <c r="AA147" s="10" t="s">
        <v>560</v>
      </c>
      <c r="AB147" s="12" t="s">
        <v>8</v>
      </c>
      <c r="AC147" s="7"/>
      <c r="AD147" s="7"/>
      <c r="AE147" s="7"/>
      <c r="AF147" s="7"/>
      <c r="AG147" s="7"/>
      <c r="AH147" s="7"/>
      <c r="AI147" s="7"/>
      <c r="AJ147" s="62"/>
      <c r="AK147" s="7">
        <v>238502</v>
      </c>
      <c r="AL147" s="33">
        <v>0</v>
      </c>
      <c r="AM147" s="7">
        <v>0</v>
      </c>
      <c r="AN147" s="7">
        <f>AL147+AM147</f>
        <v>0</v>
      </c>
      <c r="AO147" s="7"/>
      <c r="AP147" s="7"/>
      <c r="AQ147" s="7">
        <f>AO147+AP147</f>
        <v>0</v>
      </c>
      <c r="AR147" s="7"/>
      <c r="AS147" s="7"/>
      <c r="AT147" s="7">
        <f>AR147+AS147</f>
        <v>0</v>
      </c>
      <c r="AU147" s="7"/>
      <c r="AV147" s="7"/>
      <c r="AW147" s="7">
        <f>AU147+AV147</f>
        <v>0</v>
      </c>
      <c r="AX147" s="7"/>
      <c r="AY147" s="7"/>
      <c r="AZ147" s="7">
        <f>AX147+AY147</f>
        <v>0</v>
      </c>
      <c r="BA147" s="7"/>
      <c r="BB147" s="7"/>
      <c r="BC147" s="7">
        <f>BA147+BB147</f>
        <v>0</v>
      </c>
      <c r="BD147" s="7"/>
      <c r="BE147" s="7"/>
      <c r="BF147" s="7">
        <f>BD147+BE147</f>
        <v>0</v>
      </c>
      <c r="BG147" s="7"/>
      <c r="BH147" s="7"/>
      <c r="BI147" s="7">
        <f>BG147+BH147</f>
        <v>0</v>
      </c>
      <c r="BJ147" s="7"/>
      <c r="BK147" s="7"/>
      <c r="BL147" s="7">
        <f>BJ147+BK147</f>
        <v>0</v>
      </c>
      <c r="BM147" s="7"/>
      <c r="BN147" s="7"/>
      <c r="BO147" s="7">
        <f>BM147+BN147</f>
        <v>0</v>
      </c>
      <c r="BP147" s="7"/>
      <c r="BQ147" s="7"/>
      <c r="BR147" s="7">
        <f>BP147+BQ147</f>
        <v>0</v>
      </c>
      <c r="BS147" s="7"/>
      <c r="BT147" s="7"/>
      <c r="BU147" s="7">
        <f>BS147+BT147</f>
        <v>0</v>
      </c>
      <c r="BV147" s="7">
        <v>0</v>
      </c>
      <c r="BW147" s="7">
        <f>AL147+AO147+AR147++AU147+AX147+BA147+BD147+BG147+BJ147+BM147+BP147+BS147</f>
        <v>0</v>
      </c>
      <c r="BX147" s="7">
        <f>AN147+AQ147+AT147+AW147+AZ147+BC147+BF147+BI147+BL147+BO147+BR147+BU147</f>
        <v>0</v>
      </c>
      <c r="BY147" s="7"/>
      <c r="BZ147" s="7">
        <f>AK147-BW147</f>
        <v>238502</v>
      </c>
      <c r="CA147" s="7">
        <f>AK147-BX147</f>
        <v>238502</v>
      </c>
      <c r="CB147" s="15">
        <f>BW147/AK147</f>
        <v>0</v>
      </c>
      <c r="CC147" s="15">
        <f>BX147/AK147</f>
        <v>0</v>
      </c>
      <c r="CD147" s="489" t="s">
        <v>694</v>
      </c>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14"/>
      <c r="DO147" s="14"/>
      <c r="DP147" s="7"/>
      <c r="DQ147" s="7"/>
      <c r="DR147" s="7"/>
      <c r="DS147" s="15"/>
      <c r="DT147" s="15"/>
      <c r="DU147" s="15"/>
      <c r="DV147" s="15"/>
      <c r="DW147" s="7"/>
      <c r="DX147" s="27"/>
      <c r="DY147" s="329"/>
    </row>
    <row r="148" spans="1:129" s="10" customFormat="1" ht="17.25" customHeight="1">
      <c r="A148" s="24" t="s">
        <v>83</v>
      </c>
      <c r="B148" s="12" t="s">
        <v>678</v>
      </c>
      <c r="C148" s="24" t="s">
        <v>655</v>
      </c>
      <c r="E148" s="3">
        <v>765030</v>
      </c>
      <c r="F148" s="406">
        <v>4</v>
      </c>
      <c r="G148" s="412" t="s">
        <v>187</v>
      </c>
      <c r="H148" s="406">
        <v>1550</v>
      </c>
      <c r="I148" s="9" t="s">
        <v>324</v>
      </c>
      <c r="J148" s="10" t="s">
        <v>75</v>
      </c>
      <c r="K148" s="3">
        <v>4</v>
      </c>
      <c r="L148" s="11" t="s">
        <v>187</v>
      </c>
      <c r="M148" s="45"/>
      <c r="N148" s="11" t="s">
        <v>186</v>
      </c>
      <c r="O148" s="11" t="s">
        <v>192</v>
      </c>
      <c r="P148" s="11" t="s">
        <v>187</v>
      </c>
      <c r="Q148" s="3" t="s">
        <v>187</v>
      </c>
      <c r="R148" s="3">
        <v>190</v>
      </c>
      <c r="S148" s="3" t="s">
        <v>188</v>
      </c>
      <c r="T148" s="12" t="s">
        <v>288</v>
      </c>
      <c r="U148" s="12"/>
      <c r="V148" s="12" t="s">
        <v>222</v>
      </c>
      <c r="W148" s="12"/>
      <c r="X148" s="8"/>
      <c r="Y148" s="25" t="s">
        <v>69</v>
      </c>
      <c r="Z148" s="25"/>
      <c r="AA148" s="10" t="s">
        <v>501</v>
      </c>
      <c r="AB148" s="12" t="s">
        <v>8</v>
      </c>
      <c r="AC148" s="7"/>
      <c r="AD148" s="7"/>
      <c r="AE148" s="7"/>
      <c r="AF148" s="7"/>
      <c r="AG148" s="7"/>
      <c r="AH148" s="7"/>
      <c r="AI148" s="7"/>
      <c r="AJ148" s="62"/>
      <c r="AK148" s="7">
        <v>1000000</v>
      </c>
      <c r="AL148" s="33">
        <v>0</v>
      </c>
      <c r="AM148" s="7">
        <v>0</v>
      </c>
      <c r="AN148" s="7">
        <f>AL148+AM148</f>
        <v>0</v>
      </c>
      <c r="AO148" s="7"/>
      <c r="AP148" s="7"/>
      <c r="AQ148" s="7">
        <f>AO148+AP148</f>
        <v>0</v>
      </c>
      <c r="AR148" s="7"/>
      <c r="AS148" s="7"/>
      <c r="AT148" s="7">
        <f>AR148+AS148</f>
        <v>0</v>
      </c>
      <c r="AU148" s="7"/>
      <c r="AV148" s="7"/>
      <c r="AW148" s="7">
        <f>AU148+AV148</f>
        <v>0</v>
      </c>
      <c r="AX148" s="7"/>
      <c r="AY148" s="7"/>
      <c r="AZ148" s="7">
        <f>AX148+AY148</f>
        <v>0</v>
      </c>
      <c r="BA148" s="7"/>
      <c r="BB148" s="7"/>
      <c r="BC148" s="7">
        <f>BA148+BB148</f>
        <v>0</v>
      </c>
      <c r="BD148" s="7"/>
      <c r="BE148" s="7"/>
      <c r="BF148" s="7">
        <f>BD148+BE148</f>
        <v>0</v>
      </c>
      <c r="BG148" s="7"/>
      <c r="BH148" s="7"/>
      <c r="BI148" s="7">
        <f>BG148+BH148</f>
        <v>0</v>
      </c>
      <c r="BJ148" s="7"/>
      <c r="BK148" s="7"/>
      <c r="BL148" s="7">
        <f>BJ148+BK148</f>
        <v>0</v>
      </c>
      <c r="BM148" s="7"/>
      <c r="BN148" s="7"/>
      <c r="BO148" s="7">
        <f>BM148+BN148</f>
        <v>0</v>
      </c>
      <c r="BP148" s="7"/>
      <c r="BQ148" s="7"/>
      <c r="BR148" s="7">
        <f>BP148+BQ148</f>
        <v>0</v>
      </c>
      <c r="BS148" s="7"/>
      <c r="BT148" s="7"/>
      <c r="BU148" s="7">
        <f>BS148+BT148</f>
        <v>0</v>
      </c>
      <c r="BV148" s="7">
        <v>0</v>
      </c>
      <c r="BW148" s="7">
        <f>AL148+AO148+AR148++AU148+AX148+BA148+BD148+BG148+BJ148+BM148+BP148+BS148</f>
        <v>0</v>
      </c>
      <c r="BX148" s="7">
        <f>AN148+AQ148+AT148+AW148+AZ148+BC148+BF148+BI148+BL148+BO148+BR148+BU148</f>
        <v>0</v>
      </c>
      <c r="BY148" s="7"/>
      <c r="BZ148" s="7">
        <f>AK148-BW148</f>
        <v>1000000</v>
      </c>
      <c r="CA148" s="7">
        <f>AK148-BX148</f>
        <v>1000000</v>
      </c>
      <c r="CB148" s="15">
        <f>BW148/AK148</f>
        <v>0</v>
      </c>
      <c r="CC148" s="15">
        <f>BX148/AK148</f>
        <v>0</v>
      </c>
      <c r="CD148" s="489" t="s">
        <v>692</v>
      </c>
      <c r="CE148" s="7">
        <v>1500000</v>
      </c>
      <c r="CF148" s="7">
        <v>0</v>
      </c>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14"/>
      <c r="DO148" s="14"/>
      <c r="DP148" s="7"/>
      <c r="DQ148" s="7"/>
      <c r="DR148" s="7"/>
      <c r="DS148" s="15"/>
      <c r="DT148" s="15"/>
      <c r="DU148" s="15"/>
      <c r="DV148" s="15"/>
      <c r="DW148" s="7"/>
      <c r="DX148" s="27"/>
      <c r="DY148" s="329"/>
    </row>
    <row r="149" spans="1:129" s="10" customFormat="1" ht="17.25" customHeight="1">
      <c r="A149" s="24" t="s">
        <v>83</v>
      </c>
      <c r="B149" s="12" t="s">
        <v>66</v>
      </c>
      <c r="C149" s="24" t="s">
        <v>642</v>
      </c>
      <c r="E149" s="3">
        <v>770005</v>
      </c>
      <c r="F149" s="406">
        <v>4</v>
      </c>
      <c r="G149" s="412" t="s">
        <v>187</v>
      </c>
      <c r="H149" s="406">
        <v>1552</v>
      </c>
      <c r="I149" s="9" t="s">
        <v>31</v>
      </c>
      <c r="J149" s="10" t="s">
        <v>1</v>
      </c>
      <c r="K149" s="3">
        <v>4</v>
      </c>
      <c r="L149" s="11" t="s">
        <v>187</v>
      </c>
      <c r="M149" s="45"/>
      <c r="N149" s="11" t="s">
        <v>186</v>
      </c>
      <c r="O149" s="11" t="s">
        <v>192</v>
      </c>
      <c r="P149" s="11" t="s">
        <v>187</v>
      </c>
      <c r="Q149" s="3" t="s">
        <v>187</v>
      </c>
      <c r="R149" s="3">
        <v>270</v>
      </c>
      <c r="S149" s="3" t="s">
        <v>188</v>
      </c>
      <c r="T149" s="12" t="s">
        <v>26</v>
      </c>
      <c r="U149" s="12" t="s">
        <v>222</v>
      </c>
      <c r="V149" s="12"/>
      <c r="W149" s="12" t="s">
        <v>2</v>
      </c>
      <c r="X149" s="8"/>
      <c r="Y149" s="25" t="s">
        <v>69</v>
      </c>
      <c r="Z149" s="25"/>
      <c r="AA149" s="10" t="s">
        <v>659</v>
      </c>
      <c r="AB149" s="12" t="s">
        <v>8</v>
      </c>
      <c r="AC149" s="7"/>
      <c r="AD149" s="7"/>
      <c r="AE149" s="7"/>
      <c r="AF149" s="7"/>
      <c r="AG149" s="7"/>
      <c r="AH149" s="7"/>
      <c r="AI149" s="7"/>
      <c r="AJ149" s="62"/>
      <c r="AK149" s="7">
        <v>300000</v>
      </c>
      <c r="AL149" s="33">
        <v>0</v>
      </c>
      <c r="AM149" s="7">
        <v>0</v>
      </c>
      <c r="AN149" s="7">
        <f>AL149+AM149</f>
        <v>0</v>
      </c>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v>0</v>
      </c>
      <c r="BW149" s="7">
        <f>AL149+AO149+AR149++AU149+AX149+BA149+BD149+BG149+BJ149+BM149+BP149+BS149</f>
        <v>0</v>
      </c>
      <c r="BX149" s="7">
        <f>AN149+AQ149+AT149+AW149+AZ149+BC149+BF149+BI149+BL149+BO149+BR149+BU149</f>
        <v>0</v>
      </c>
      <c r="BY149" s="7"/>
      <c r="BZ149" s="7">
        <f>AK149-BW149</f>
        <v>300000</v>
      </c>
      <c r="CA149" s="7">
        <f>AK149-BX149</f>
        <v>300000</v>
      </c>
      <c r="CB149" s="15">
        <f>BW149/AK149</f>
        <v>0</v>
      </c>
      <c r="CC149" s="15">
        <f>BX149/AK149</f>
        <v>0</v>
      </c>
      <c r="CD149" s="489" t="s">
        <v>696</v>
      </c>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14"/>
      <c r="DO149" s="14"/>
      <c r="DP149" s="7"/>
      <c r="DQ149" s="7"/>
      <c r="DR149" s="7"/>
      <c r="DS149" s="15"/>
      <c r="DT149" s="15"/>
      <c r="DU149" s="15"/>
      <c r="DV149" s="15"/>
      <c r="DW149" s="7"/>
      <c r="DX149" s="27"/>
      <c r="DY149" s="329"/>
    </row>
    <row r="150" spans="1:129" s="10" customFormat="1" ht="15" customHeight="1">
      <c r="A150" s="24" t="s">
        <v>83</v>
      </c>
      <c r="B150" s="12" t="s">
        <v>122</v>
      </c>
      <c r="C150" s="24" t="s">
        <v>244</v>
      </c>
      <c r="D150" s="10" t="s">
        <v>75</v>
      </c>
      <c r="E150" s="3">
        <v>770030</v>
      </c>
      <c r="F150" s="406">
        <v>4</v>
      </c>
      <c r="G150" s="406">
        <v>36</v>
      </c>
      <c r="H150" s="406">
        <v>1548</v>
      </c>
      <c r="I150" s="9" t="s">
        <v>1</v>
      </c>
      <c r="J150" s="10" t="s">
        <v>1</v>
      </c>
      <c r="K150" s="3">
        <v>4</v>
      </c>
      <c r="L150" s="3">
        <v>36</v>
      </c>
      <c r="M150" s="45"/>
      <c r="N150" s="3" t="s">
        <v>186</v>
      </c>
      <c r="O150" s="3" t="s">
        <v>192</v>
      </c>
      <c r="P150" s="3" t="s">
        <v>187</v>
      </c>
      <c r="Q150" s="3" t="s">
        <v>187</v>
      </c>
      <c r="R150" s="3">
        <v>100</v>
      </c>
      <c r="S150" s="3" t="s">
        <v>188</v>
      </c>
      <c r="T150" s="12" t="s">
        <v>129</v>
      </c>
      <c r="U150" s="12" t="s">
        <v>222</v>
      </c>
      <c r="V150" s="12"/>
      <c r="W150" s="12" t="s">
        <v>2</v>
      </c>
      <c r="X150" s="8" t="s">
        <v>6</v>
      </c>
      <c r="Y150" s="25" t="s">
        <v>69</v>
      </c>
      <c r="Z150" s="25" t="s">
        <v>143</v>
      </c>
      <c r="AA150" s="258" t="s">
        <v>120</v>
      </c>
      <c r="AB150" s="110" t="s">
        <v>37</v>
      </c>
      <c r="AC150" s="7">
        <v>0</v>
      </c>
      <c r="AD150" s="7"/>
      <c r="AE150" s="7">
        <f>AC150+AD150</f>
        <v>0</v>
      </c>
      <c r="AF150" s="7"/>
      <c r="AG150" s="7">
        <f t="shared" si="153"/>
        <v>0</v>
      </c>
      <c r="AH150" s="7"/>
      <c r="AI150" s="7">
        <f t="shared" si="154"/>
        <v>0</v>
      </c>
      <c r="AJ150" s="62"/>
      <c r="AK150" s="7">
        <f>10000000-5000000</f>
        <v>5000000</v>
      </c>
      <c r="AL150" s="33">
        <v>0</v>
      </c>
      <c r="AM150" s="7">
        <v>0</v>
      </c>
      <c r="AN150" s="7">
        <f t="shared" si="155"/>
        <v>0</v>
      </c>
      <c r="AO150" s="7"/>
      <c r="AP150" s="7"/>
      <c r="AQ150" s="7">
        <f t="shared" si="156"/>
        <v>0</v>
      </c>
      <c r="AR150" s="7"/>
      <c r="AS150" s="7"/>
      <c r="AT150" s="7">
        <f t="shared" si="157"/>
        <v>0</v>
      </c>
      <c r="AU150" s="7"/>
      <c r="AV150" s="7"/>
      <c r="AW150" s="7">
        <f t="shared" si="158"/>
        <v>0</v>
      </c>
      <c r="AX150" s="7"/>
      <c r="AY150" s="7"/>
      <c r="AZ150" s="7">
        <f t="shared" si="159"/>
        <v>0</v>
      </c>
      <c r="BA150" s="7"/>
      <c r="BB150" s="7"/>
      <c r="BC150" s="7">
        <f t="shared" si="160"/>
        <v>0</v>
      </c>
      <c r="BD150" s="7"/>
      <c r="BE150" s="7"/>
      <c r="BF150" s="7">
        <f t="shared" si="161"/>
        <v>0</v>
      </c>
      <c r="BG150" s="7"/>
      <c r="BH150" s="7"/>
      <c r="BI150" s="7">
        <f t="shared" si="162"/>
        <v>0</v>
      </c>
      <c r="BJ150" s="7"/>
      <c r="BK150" s="7"/>
      <c r="BL150" s="7">
        <f t="shared" si="163"/>
        <v>0</v>
      </c>
      <c r="BM150" s="7"/>
      <c r="BN150" s="7"/>
      <c r="BO150" s="7">
        <f t="shared" si="164"/>
        <v>0</v>
      </c>
      <c r="BP150" s="7"/>
      <c r="BQ150" s="7"/>
      <c r="BR150" s="7">
        <f t="shared" si="165"/>
        <v>0</v>
      </c>
      <c r="BS150" s="7"/>
      <c r="BT150" s="7"/>
      <c r="BU150" s="7">
        <f t="shared" si="166"/>
        <v>0</v>
      </c>
      <c r="BV150" s="7">
        <v>3976.02</v>
      </c>
      <c r="BW150" s="7">
        <f t="shared" si="167"/>
        <v>0</v>
      </c>
      <c r="BX150" s="7">
        <f t="shared" si="168"/>
        <v>0</v>
      </c>
      <c r="BY150" s="7"/>
      <c r="BZ150" s="7">
        <f t="shared" si="169"/>
        <v>5000000</v>
      </c>
      <c r="CA150" s="7">
        <f t="shared" si="170"/>
        <v>5000000</v>
      </c>
      <c r="CB150" s="15">
        <f t="shared" si="171"/>
        <v>0</v>
      </c>
      <c r="CC150" s="15">
        <f t="shared" si="172"/>
        <v>0</v>
      </c>
      <c r="CD150" s="489" t="s">
        <v>696</v>
      </c>
      <c r="CE150" s="7">
        <v>5000000</v>
      </c>
      <c r="CF150" s="7">
        <v>5000000</v>
      </c>
      <c r="CG150" s="7"/>
      <c r="CH150" s="7"/>
      <c r="CI150" s="7"/>
      <c r="CJ150" s="7">
        <f>CI150</f>
        <v>0</v>
      </c>
      <c r="CK150" s="7"/>
      <c r="CL150" s="7">
        <f>CK150</f>
        <v>0</v>
      </c>
      <c r="CM150" s="7"/>
      <c r="CN150" s="7">
        <v>0</v>
      </c>
      <c r="CO150" s="7">
        <f t="shared" si="175"/>
        <v>0</v>
      </c>
      <c r="CP150" s="7">
        <f>CI150+CK150+CM150</f>
        <v>0</v>
      </c>
      <c r="CQ150" s="7">
        <f>CJ150+CL150+CO150</f>
        <v>0</v>
      </c>
      <c r="CR150" s="7"/>
      <c r="CS150" s="7"/>
      <c r="CT150" s="7">
        <f>CR150+CS150</f>
        <v>0</v>
      </c>
      <c r="CU150" s="7"/>
      <c r="CV150" s="7"/>
      <c r="CW150" s="7">
        <f t="shared" si="176"/>
        <v>0</v>
      </c>
      <c r="CX150" s="7"/>
      <c r="CY150" s="7"/>
      <c r="CZ150" s="7">
        <f t="shared" si="177"/>
        <v>0</v>
      </c>
      <c r="DA150" s="7"/>
      <c r="DB150" s="7">
        <f>DA150</f>
        <v>0</v>
      </c>
      <c r="DC150" s="7"/>
      <c r="DD150" s="7">
        <f>DC150</f>
        <v>0</v>
      </c>
      <c r="DE150" s="7"/>
      <c r="DF150" s="7">
        <f>DE150</f>
        <v>0</v>
      </c>
      <c r="DG150" s="7"/>
      <c r="DH150" s="7">
        <f>DG150</f>
        <v>0</v>
      </c>
      <c r="DI150" s="7"/>
      <c r="DJ150" s="7">
        <f>DI150</f>
        <v>0</v>
      </c>
      <c r="DK150" s="7"/>
      <c r="DL150" s="7">
        <f>DK150</f>
        <v>0</v>
      </c>
      <c r="DM150" s="7"/>
      <c r="DN150" s="14">
        <f t="shared" si="178"/>
        <v>0</v>
      </c>
      <c r="DO150" s="14">
        <f t="shared" si="179"/>
        <v>0</v>
      </c>
      <c r="DP150" s="7"/>
      <c r="DQ150" s="7">
        <f t="shared" si="180"/>
        <v>0</v>
      </c>
      <c r="DR150" s="7">
        <f t="shared" si="181"/>
        <v>0</v>
      </c>
      <c r="DS150" s="15">
        <v>0</v>
      </c>
      <c r="DT150" s="15">
        <v>0</v>
      </c>
      <c r="DU150" s="7"/>
      <c r="DV150" s="7"/>
      <c r="DW150" s="7"/>
      <c r="DX150" s="27"/>
      <c r="DY150" s="329"/>
    </row>
    <row r="151" spans="1:129" s="10" customFormat="1" ht="15" customHeight="1">
      <c r="A151" s="24" t="s">
        <v>83</v>
      </c>
      <c r="B151" s="12" t="s">
        <v>122</v>
      </c>
      <c r="C151" s="24" t="s">
        <v>244</v>
      </c>
      <c r="D151" s="10" t="s">
        <v>75</v>
      </c>
      <c r="E151" s="3">
        <v>770030</v>
      </c>
      <c r="F151" s="406">
        <v>4</v>
      </c>
      <c r="G151" s="406">
        <v>36</v>
      </c>
      <c r="H151" s="406">
        <v>1549</v>
      </c>
      <c r="I151" s="9" t="s">
        <v>1</v>
      </c>
      <c r="J151" s="10" t="s">
        <v>1</v>
      </c>
      <c r="K151" s="3">
        <v>4</v>
      </c>
      <c r="L151" s="3">
        <v>36</v>
      </c>
      <c r="M151" s="45"/>
      <c r="N151" s="3" t="s">
        <v>186</v>
      </c>
      <c r="O151" s="3" t="s">
        <v>192</v>
      </c>
      <c r="P151" s="3" t="s">
        <v>187</v>
      </c>
      <c r="Q151" s="3" t="s">
        <v>187</v>
      </c>
      <c r="R151" s="3">
        <v>100</v>
      </c>
      <c r="S151" s="3" t="s">
        <v>188</v>
      </c>
      <c r="T151" s="12" t="s">
        <v>129</v>
      </c>
      <c r="U151" s="12" t="s">
        <v>222</v>
      </c>
      <c r="V151" s="12"/>
      <c r="W151" s="12"/>
      <c r="X151" s="8"/>
      <c r="Y151" s="25" t="s">
        <v>69</v>
      </c>
      <c r="Z151" s="25"/>
      <c r="AA151" s="258" t="s">
        <v>507</v>
      </c>
      <c r="AB151" s="110" t="s">
        <v>37</v>
      </c>
      <c r="AC151" s="7"/>
      <c r="AD151" s="7"/>
      <c r="AE151" s="7"/>
      <c r="AF151" s="7"/>
      <c r="AG151" s="7"/>
      <c r="AH151" s="7"/>
      <c r="AI151" s="7"/>
      <c r="AJ151" s="62"/>
      <c r="AK151" s="7">
        <v>1000000</v>
      </c>
      <c r="AL151" s="33">
        <v>0</v>
      </c>
      <c r="AM151" s="7">
        <v>0</v>
      </c>
      <c r="AN151" s="7">
        <f t="shared" si="155"/>
        <v>0</v>
      </c>
      <c r="AO151" s="7"/>
      <c r="AP151" s="7"/>
      <c r="AQ151" s="7">
        <f t="shared" si="156"/>
        <v>0</v>
      </c>
      <c r="AR151" s="7"/>
      <c r="AS151" s="7"/>
      <c r="AT151" s="7">
        <f t="shared" si="157"/>
        <v>0</v>
      </c>
      <c r="AU151" s="7"/>
      <c r="AV151" s="7"/>
      <c r="AW151" s="7">
        <f t="shared" si="158"/>
        <v>0</v>
      </c>
      <c r="AX151" s="7"/>
      <c r="AY151" s="7"/>
      <c r="AZ151" s="7">
        <f t="shared" si="159"/>
        <v>0</v>
      </c>
      <c r="BA151" s="7"/>
      <c r="BB151" s="7"/>
      <c r="BC151" s="7">
        <f t="shared" si="160"/>
        <v>0</v>
      </c>
      <c r="BD151" s="7"/>
      <c r="BE151" s="7"/>
      <c r="BF151" s="7">
        <f t="shared" si="161"/>
        <v>0</v>
      </c>
      <c r="BG151" s="7"/>
      <c r="BH151" s="7"/>
      <c r="BI151" s="7">
        <f t="shared" si="162"/>
        <v>0</v>
      </c>
      <c r="BJ151" s="7"/>
      <c r="BK151" s="7"/>
      <c r="BL151" s="7">
        <f t="shared" si="163"/>
        <v>0</v>
      </c>
      <c r="BM151" s="7"/>
      <c r="BN151" s="7"/>
      <c r="BO151" s="7">
        <f t="shared" si="164"/>
        <v>0</v>
      </c>
      <c r="BP151" s="7"/>
      <c r="BQ151" s="7"/>
      <c r="BR151" s="7">
        <f t="shared" si="165"/>
        <v>0</v>
      </c>
      <c r="BS151" s="7"/>
      <c r="BT151" s="7"/>
      <c r="BU151" s="7">
        <f t="shared" si="166"/>
        <v>0</v>
      </c>
      <c r="BV151" s="7">
        <v>0</v>
      </c>
      <c r="BW151" s="7">
        <f t="shared" si="167"/>
        <v>0</v>
      </c>
      <c r="BX151" s="7">
        <f t="shared" si="168"/>
        <v>0</v>
      </c>
      <c r="BY151" s="7"/>
      <c r="BZ151" s="7">
        <f t="shared" si="169"/>
        <v>1000000</v>
      </c>
      <c r="CA151" s="7">
        <f t="shared" si="170"/>
        <v>1000000</v>
      </c>
      <c r="CB151" s="15">
        <f t="shared" si="171"/>
        <v>0</v>
      </c>
      <c r="CC151" s="15">
        <f t="shared" si="172"/>
        <v>0</v>
      </c>
      <c r="CD151" s="489" t="s">
        <v>695</v>
      </c>
      <c r="CE151" s="7">
        <v>1000000</v>
      </c>
      <c r="CF151" s="7">
        <v>1000000</v>
      </c>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14"/>
      <c r="DO151" s="14"/>
      <c r="DP151" s="7"/>
      <c r="DQ151" s="7"/>
      <c r="DR151" s="7"/>
      <c r="DS151" s="15"/>
      <c r="DT151" s="15"/>
      <c r="DU151" s="7"/>
      <c r="DV151" s="7"/>
      <c r="DW151" s="7"/>
      <c r="DX151" s="27"/>
      <c r="DY151" s="329"/>
    </row>
    <row r="152" spans="1:129" s="10" customFormat="1" ht="15" customHeight="1">
      <c r="A152" s="24" t="s">
        <v>83</v>
      </c>
      <c r="B152" s="12" t="s">
        <v>122</v>
      </c>
      <c r="C152" s="24" t="s">
        <v>244</v>
      </c>
      <c r="D152" s="10" t="s">
        <v>75</v>
      </c>
      <c r="E152" s="3">
        <v>770030</v>
      </c>
      <c r="F152" s="406">
        <v>4</v>
      </c>
      <c r="G152" s="406">
        <v>36</v>
      </c>
      <c r="H152" s="406">
        <v>1550</v>
      </c>
      <c r="I152" s="9" t="s">
        <v>1</v>
      </c>
      <c r="J152" s="10" t="s">
        <v>1</v>
      </c>
      <c r="K152" s="3">
        <v>4</v>
      </c>
      <c r="L152" s="3">
        <v>36</v>
      </c>
      <c r="M152" s="45"/>
      <c r="N152" s="3" t="s">
        <v>186</v>
      </c>
      <c r="O152" s="3" t="s">
        <v>192</v>
      </c>
      <c r="P152" s="3" t="s">
        <v>187</v>
      </c>
      <c r="Q152" s="3" t="s">
        <v>187</v>
      </c>
      <c r="R152" s="3">
        <v>100</v>
      </c>
      <c r="S152" s="3" t="s">
        <v>188</v>
      </c>
      <c r="T152" s="12" t="s">
        <v>129</v>
      </c>
      <c r="U152" s="12" t="s">
        <v>222</v>
      </c>
      <c r="V152" s="12"/>
      <c r="W152" s="12" t="s">
        <v>2</v>
      </c>
      <c r="X152" s="8" t="s">
        <v>6</v>
      </c>
      <c r="Y152" s="25" t="s">
        <v>69</v>
      </c>
      <c r="Z152" s="25">
        <v>25</v>
      </c>
      <c r="AA152" s="10" t="s">
        <v>121</v>
      </c>
      <c r="AB152" s="110" t="s">
        <v>37</v>
      </c>
      <c r="AC152" s="7">
        <v>0</v>
      </c>
      <c r="AD152" s="7"/>
      <c r="AE152" s="7">
        <f>AC152+AD152</f>
        <v>0</v>
      </c>
      <c r="AF152" s="7"/>
      <c r="AG152" s="7">
        <f t="shared" si="153"/>
        <v>0</v>
      </c>
      <c r="AH152" s="7"/>
      <c r="AI152" s="7">
        <f t="shared" si="154"/>
        <v>0</v>
      </c>
      <c r="AJ152" s="62"/>
      <c r="AK152" s="7">
        <f>75000000-25000000-20000000-10000000</f>
        <v>20000000</v>
      </c>
      <c r="AL152" s="33">
        <v>0</v>
      </c>
      <c r="AM152" s="7">
        <v>0</v>
      </c>
      <c r="AN152" s="7">
        <f t="shared" si="155"/>
        <v>0</v>
      </c>
      <c r="AO152" s="7"/>
      <c r="AP152" s="7"/>
      <c r="AQ152" s="7">
        <f t="shared" si="156"/>
        <v>0</v>
      </c>
      <c r="AR152" s="7"/>
      <c r="AS152" s="7"/>
      <c r="AT152" s="7">
        <f t="shared" si="157"/>
        <v>0</v>
      </c>
      <c r="AU152" s="7"/>
      <c r="AV152" s="7"/>
      <c r="AW152" s="7">
        <f t="shared" si="158"/>
        <v>0</v>
      </c>
      <c r="AX152" s="7"/>
      <c r="AY152" s="7"/>
      <c r="AZ152" s="7">
        <f t="shared" si="159"/>
        <v>0</v>
      </c>
      <c r="BA152" s="7"/>
      <c r="BB152" s="7"/>
      <c r="BC152" s="7">
        <f t="shared" si="160"/>
        <v>0</v>
      </c>
      <c r="BD152" s="7"/>
      <c r="BE152" s="7"/>
      <c r="BF152" s="7">
        <f t="shared" si="161"/>
        <v>0</v>
      </c>
      <c r="BG152" s="7"/>
      <c r="BH152" s="7"/>
      <c r="BI152" s="7">
        <f t="shared" si="162"/>
        <v>0</v>
      </c>
      <c r="BJ152" s="7"/>
      <c r="BK152" s="7"/>
      <c r="BL152" s="7">
        <f t="shared" si="163"/>
        <v>0</v>
      </c>
      <c r="BM152" s="7"/>
      <c r="BN152" s="7"/>
      <c r="BO152" s="7">
        <f t="shared" si="164"/>
        <v>0</v>
      </c>
      <c r="BP152" s="7"/>
      <c r="BQ152" s="7"/>
      <c r="BR152" s="7">
        <f t="shared" si="165"/>
        <v>0</v>
      </c>
      <c r="BS152" s="7"/>
      <c r="BT152" s="7"/>
      <c r="BU152" s="7">
        <f t="shared" si="166"/>
        <v>0</v>
      </c>
      <c r="BV152" s="7">
        <v>0</v>
      </c>
      <c r="BW152" s="7">
        <f t="shared" si="167"/>
        <v>0</v>
      </c>
      <c r="BX152" s="7">
        <f t="shared" si="168"/>
        <v>0</v>
      </c>
      <c r="BY152" s="7"/>
      <c r="BZ152" s="7">
        <f t="shared" si="169"/>
        <v>20000000</v>
      </c>
      <c r="CA152" s="7">
        <f t="shared" si="170"/>
        <v>20000000</v>
      </c>
      <c r="CB152" s="15">
        <f t="shared" si="171"/>
        <v>0</v>
      </c>
      <c r="CC152" s="15">
        <f t="shared" si="172"/>
        <v>0</v>
      </c>
      <c r="CD152" s="489" t="s">
        <v>695</v>
      </c>
      <c r="CE152" s="7">
        <f>25000000-4289900</f>
        <v>20710100</v>
      </c>
      <c r="CF152" s="7">
        <f>20710100-6297685</f>
        <v>14412415</v>
      </c>
      <c r="CG152" s="7"/>
      <c r="CH152" s="7"/>
      <c r="CI152" s="7"/>
      <c r="CJ152" s="7">
        <f>CI152</f>
        <v>0</v>
      </c>
      <c r="CK152" s="7"/>
      <c r="CL152" s="7">
        <f>CK152</f>
        <v>0</v>
      </c>
      <c r="CM152" s="7"/>
      <c r="CN152" s="7">
        <v>0</v>
      </c>
      <c r="CO152" s="7">
        <f t="shared" si="175"/>
        <v>0</v>
      </c>
      <c r="CP152" s="7">
        <f>CI152+CK152+CM152</f>
        <v>0</v>
      </c>
      <c r="CQ152" s="7">
        <f>CJ152+CL152+CO152</f>
        <v>0</v>
      </c>
      <c r="CR152" s="7"/>
      <c r="CS152" s="7"/>
      <c r="CT152" s="7">
        <f>CR152+CS152</f>
        <v>0</v>
      </c>
      <c r="CU152" s="7"/>
      <c r="CV152" s="7"/>
      <c r="CW152" s="7">
        <f t="shared" si="176"/>
        <v>0</v>
      </c>
      <c r="CX152" s="7"/>
      <c r="CY152" s="7"/>
      <c r="CZ152" s="7">
        <f t="shared" si="177"/>
        <v>0</v>
      </c>
      <c r="DA152" s="7"/>
      <c r="DB152" s="7">
        <f>DA152</f>
        <v>0</v>
      </c>
      <c r="DC152" s="7"/>
      <c r="DD152" s="7">
        <f>DC152</f>
        <v>0</v>
      </c>
      <c r="DE152" s="7"/>
      <c r="DF152" s="7">
        <f>DE152</f>
        <v>0</v>
      </c>
      <c r="DG152" s="7"/>
      <c r="DH152" s="7">
        <f>DG152</f>
        <v>0</v>
      </c>
      <c r="DI152" s="7"/>
      <c r="DJ152" s="7">
        <f>DI152</f>
        <v>0</v>
      </c>
      <c r="DK152" s="7"/>
      <c r="DL152" s="7">
        <f>DK152</f>
        <v>0</v>
      </c>
      <c r="DM152" s="7"/>
      <c r="DN152" s="14">
        <f t="shared" si="178"/>
        <v>0</v>
      </c>
      <c r="DO152" s="14">
        <f t="shared" si="179"/>
        <v>0</v>
      </c>
      <c r="DP152" s="7"/>
      <c r="DQ152" s="7">
        <f t="shared" si="180"/>
        <v>0</v>
      </c>
      <c r="DR152" s="7">
        <f t="shared" si="181"/>
        <v>0</v>
      </c>
      <c r="DS152" s="15">
        <v>0</v>
      </c>
      <c r="DT152" s="15">
        <v>0</v>
      </c>
      <c r="DU152" s="7"/>
      <c r="DV152" s="7"/>
      <c r="DW152" s="7"/>
      <c r="DX152" s="27"/>
      <c r="DY152" s="329"/>
    </row>
    <row r="153" spans="1:129" s="10" customFormat="1" ht="15" customHeight="1">
      <c r="A153" s="24" t="s">
        <v>83</v>
      </c>
      <c r="B153" s="12" t="s">
        <v>122</v>
      </c>
      <c r="C153" s="24" t="s">
        <v>244</v>
      </c>
      <c r="D153" s="10" t="s">
        <v>1</v>
      </c>
      <c r="E153" s="3">
        <v>770030</v>
      </c>
      <c r="F153" s="406">
        <v>4</v>
      </c>
      <c r="G153" s="412" t="s">
        <v>187</v>
      </c>
      <c r="H153" s="406">
        <v>1551</v>
      </c>
      <c r="I153" s="9" t="s">
        <v>1</v>
      </c>
      <c r="J153" s="10" t="s">
        <v>1</v>
      </c>
      <c r="K153" s="3">
        <v>4</v>
      </c>
      <c r="L153" s="11" t="s">
        <v>187</v>
      </c>
      <c r="M153" s="45"/>
      <c r="N153" s="11" t="s">
        <v>186</v>
      </c>
      <c r="O153" s="11" t="s">
        <v>192</v>
      </c>
      <c r="P153" s="11" t="s">
        <v>187</v>
      </c>
      <c r="Q153" s="3" t="s">
        <v>187</v>
      </c>
      <c r="R153" s="3">
        <v>100</v>
      </c>
      <c r="S153" s="3" t="s">
        <v>188</v>
      </c>
      <c r="T153" s="12" t="s">
        <v>129</v>
      </c>
      <c r="U153" s="12" t="s">
        <v>222</v>
      </c>
      <c r="V153" s="12"/>
      <c r="W153" s="12" t="s">
        <v>2</v>
      </c>
      <c r="X153" s="8"/>
      <c r="Y153" s="25" t="s">
        <v>69</v>
      </c>
      <c r="Z153" s="25"/>
      <c r="AA153" s="10" t="s">
        <v>287</v>
      </c>
      <c r="AB153" s="12" t="s">
        <v>8</v>
      </c>
      <c r="AC153" s="7"/>
      <c r="AD153" s="7"/>
      <c r="AE153" s="7">
        <v>0</v>
      </c>
      <c r="AF153" s="7">
        <v>51990000</v>
      </c>
      <c r="AG153" s="7">
        <v>14240000</v>
      </c>
      <c r="AH153" s="7"/>
      <c r="AI153" s="7">
        <f t="shared" si="154"/>
        <v>14240000</v>
      </c>
      <c r="AJ153" s="62"/>
      <c r="AK153" s="7">
        <f>25000000-15000000</f>
        <v>10000000</v>
      </c>
      <c r="AL153" s="33">
        <v>0</v>
      </c>
      <c r="AM153" s="7">
        <v>0</v>
      </c>
      <c r="AN153" s="7">
        <f t="shared" si="155"/>
        <v>0</v>
      </c>
      <c r="AO153" s="7"/>
      <c r="AP153" s="7"/>
      <c r="AQ153" s="7">
        <f t="shared" si="156"/>
        <v>0</v>
      </c>
      <c r="AR153" s="7"/>
      <c r="AS153" s="7"/>
      <c r="AT153" s="7">
        <f t="shared" si="157"/>
        <v>0</v>
      </c>
      <c r="AU153" s="7"/>
      <c r="AV153" s="7"/>
      <c r="AW153" s="7">
        <f t="shared" si="158"/>
        <v>0</v>
      </c>
      <c r="AX153" s="7"/>
      <c r="AY153" s="7"/>
      <c r="AZ153" s="7">
        <f t="shared" si="159"/>
        <v>0</v>
      </c>
      <c r="BA153" s="7"/>
      <c r="BB153" s="7"/>
      <c r="BC153" s="7">
        <f t="shared" si="160"/>
        <v>0</v>
      </c>
      <c r="BD153" s="7"/>
      <c r="BE153" s="7"/>
      <c r="BF153" s="7">
        <f t="shared" si="161"/>
        <v>0</v>
      </c>
      <c r="BG153" s="7"/>
      <c r="BH153" s="7"/>
      <c r="BI153" s="7">
        <f t="shared" si="162"/>
        <v>0</v>
      </c>
      <c r="BJ153" s="7"/>
      <c r="BK153" s="7"/>
      <c r="BL153" s="7">
        <f t="shared" si="163"/>
        <v>0</v>
      </c>
      <c r="BM153" s="7"/>
      <c r="BN153" s="7"/>
      <c r="BO153" s="7">
        <f t="shared" si="164"/>
        <v>0</v>
      </c>
      <c r="BP153" s="7"/>
      <c r="BQ153" s="7"/>
      <c r="BR153" s="7">
        <f t="shared" si="165"/>
        <v>0</v>
      </c>
      <c r="BS153" s="7"/>
      <c r="BT153" s="7"/>
      <c r="BU153" s="7">
        <f t="shared" si="166"/>
        <v>0</v>
      </c>
      <c r="BV153" s="7">
        <v>641246.4</v>
      </c>
      <c r="BW153" s="7">
        <f t="shared" si="167"/>
        <v>0</v>
      </c>
      <c r="BX153" s="7">
        <f t="shared" si="168"/>
        <v>0</v>
      </c>
      <c r="BY153" s="7"/>
      <c r="BZ153" s="7">
        <f t="shared" si="169"/>
        <v>10000000</v>
      </c>
      <c r="CA153" s="7">
        <f t="shared" si="170"/>
        <v>10000000</v>
      </c>
      <c r="CB153" s="15">
        <f t="shared" si="171"/>
        <v>0</v>
      </c>
      <c r="CC153" s="15">
        <f t="shared" si="172"/>
        <v>0</v>
      </c>
      <c r="CD153" s="489" t="s">
        <v>695</v>
      </c>
      <c r="CE153" s="7">
        <f>16000000-6000000</f>
        <v>10000000</v>
      </c>
      <c r="CF153" s="7">
        <f>17000000-7000000</f>
        <v>10000000</v>
      </c>
      <c r="CG153" s="7"/>
      <c r="CH153" s="7"/>
      <c r="CI153" s="7"/>
      <c r="CJ153" s="7"/>
      <c r="CK153" s="7"/>
      <c r="CL153" s="7"/>
      <c r="CM153" s="7"/>
      <c r="CN153" s="7"/>
      <c r="CO153" s="7"/>
      <c r="CP153" s="7"/>
      <c r="CQ153" s="7"/>
      <c r="CR153" s="7"/>
      <c r="CS153" s="7"/>
      <c r="CT153" s="7"/>
      <c r="CU153" s="7"/>
      <c r="CV153" s="7"/>
      <c r="CW153" s="7"/>
      <c r="CX153" s="7"/>
      <c r="CY153" s="7"/>
      <c r="CZ153" s="7">
        <f t="shared" si="177"/>
        <v>0</v>
      </c>
      <c r="DA153" s="7"/>
      <c r="DB153" s="7"/>
      <c r="DC153" s="7"/>
      <c r="DD153" s="7"/>
      <c r="DE153" s="7"/>
      <c r="DF153" s="7"/>
      <c r="DG153" s="7"/>
      <c r="DH153" s="7"/>
      <c r="DI153" s="7"/>
      <c r="DJ153" s="7"/>
      <c r="DK153" s="7"/>
      <c r="DL153" s="7"/>
      <c r="DM153" s="7"/>
      <c r="DN153" s="14">
        <f>CI153+CK153+CM153+CR153+CU153+CX153+DA153+DC153+DE153+DG153+DI153+DK153</f>
        <v>0</v>
      </c>
      <c r="DO153" s="14">
        <f t="shared" si="179"/>
        <v>0</v>
      </c>
      <c r="DP153" s="7"/>
      <c r="DQ153" s="7">
        <f>AG153-DN153</f>
        <v>14240000</v>
      </c>
      <c r="DR153" s="7">
        <f>AG153-DO153</f>
        <v>14240000</v>
      </c>
      <c r="DS153" s="15">
        <f>DN153/AG153</f>
        <v>0</v>
      </c>
      <c r="DT153" s="15">
        <f>DO153/AG153</f>
        <v>0</v>
      </c>
      <c r="DU153" s="15"/>
      <c r="DV153" s="15"/>
      <c r="DW153" s="7"/>
      <c r="DX153" s="27"/>
      <c r="DY153" s="329"/>
    </row>
    <row r="154" spans="1:129" s="10" customFormat="1" ht="16.5" customHeight="1" thickBot="1">
      <c r="A154" s="41"/>
      <c r="B154" s="18"/>
      <c r="C154" s="41"/>
      <c r="D154" s="18"/>
      <c r="E154" s="57"/>
      <c r="F154" s="411"/>
      <c r="G154" s="411"/>
      <c r="H154" s="411"/>
      <c r="I154" s="55"/>
      <c r="J154" s="56"/>
      <c r="K154" s="57"/>
      <c r="L154" s="57"/>
      <c r="M154" s="57"/>
      <c r="N154" s="57"/>
      <c r="O154" s="57"/>
      <c r="P154" s="57"/>
      <c r="Q154" s="57"/>
      <c r="R154" s="57"/>
      <c r="S154" s="57"/>
      <c r="T154" s="28"/>
      <c r="U154" s="28"/>
      <c r="V154" s="28"/>
      <c r="W154" s="18"/>
      <c r="X154" s="18"/>
      <c r="Y154" s="39"/>
      <c r="Z154" s="30"/>
      <c r="AA154" s="56" t="s">
        <v>87</v>
      </c>
      <c r="AB154" s="29"/>
      <c r="AC154" s="20">
        <f>SUM(AC134:AC153)</f>
        <v>39040943</v>
      </c>
      <c r="AD154" s="20">
        <f>SUM(AD134:AD153)</f>
        <v>0</v>
      </c>
      <c r="AE154" s="20">
        <f>SUM(AE134:AE153)</f>
        <v>39040943</v>
      </c>
      <c r="AF154" s="20">
        <f>SUM(AF134:AF153)</f>
        <v>46790000</v>
      </c>
      <c r="AG154" s="20">
        <f t="shared" ref="AG154:CA154" si="182">SUM(AG133:AG153)</f>
        <v>48080943</v>
      </c>
      <c r="AH154" s="20">
        <f t="shared" si="182"/>
        <v>-8384413</v>
      </c>
      <c r="AI154" s="20">
        <f t="shared" si="182"/>
        <v>39696530</v>
      </c>
      <c r="AJ154" s="470">
        <f t="shared" si="182"/>
        <v>0</v>
      </c>
      <c r="AK154" s="20">
        <f t="shared" si="182"/>
        <v>86530409</v>
      </c>
      <c r="AL154" s="476">
        <f t="shared" si="182"/>
        <v>0</v>
      </c>
      <c r="AM154" s="20">
        <f t="shared" si="182"/>
        <v>0</v>
      </c>
      <c r="AN154" s="20">
        <f t="shared" si="182"/>
        <v>0</v>
      </c>
      <c r="AO154" s="20">
        <f t="shared" si="182"/>
        <v>0</v>
      </c>
      <c r="AP154" s="20">
        <f t="shared" si="182"/>
        <v>0</v>
      </c>
      <c r="AQ154" s="20">
        <f t="shared" si="182"/>
        <v>0</v>
      </c>
      <c r="AR154" s="20">
        <f t="shared" si="182"/>
        <v>0</v>
      </c>
      <c r="AS154" s="20">
        <f t="shared" si="182"/>
        <v>0</v>
      </c>
      <c r="AT154" s="20">
        <f t="shared" si="182"/>
        <v>0</v>
      </c>
      <c r="AU154" s="20">
        <f t="shared" si="182"/>
        <v>0</v>
      </c>
      <c r="AV154" s="20">
        <f t="shared" si="182"/>
        <v>0</v>
      </c>
      <c r="AW154" s="20">
        <f t="shared" si="182"/>
        <v>0</v>
      </c>
      <c r="AX154" s="20">
        <f t="shared" si="182"/>
        <v>0</v>
      </c>
      <c r="AY154" s="20">
        <f t="shared" si="182"/>
        <v>0</v>
      </c>
      <c r="AZ154" s="20">
        <f t="shared" si="182"/>
        <v>0</v>
      </c>
      <c r="BA154" s="20">
        <f t="shared" si="182"/>
        <v>0</v>
      </c>
      <c r="BB154" s="20">
        <f t="shared" si="182"/>
        <v>0</v>
      </c>
      <c r="BC154" s="20">
        <f t="shared" si="182"/>
        <v>0</v>
      </c>
      <c r="BD154" s="20">
        <f t="shared" si="182"/>
        <v>0</v>
      </c>
      <c r="BE154" s="20">
        <f t="shared" si="182"/>
        <v>0</v>
      </c>
      <c r="BF154" s="20">
        <f t="shared" si="182"/>
        <v>0</v>
      </c>
      <c r="BG154" s="20">
        <f t="shared" si="182"/>
        <v>0</v>
      </c>
      <c r="BH154" s="20">
        <f t="shared" si="182"/>
        <v>0</v>
      </c>
      <c r="BI154" s="20">
        <f t="shared" si="182"/>
        <v>0</v>
      </c>
      <c r="BJ154" s="20">
        <f t="shared" si="182"/>
        <v>0</v>
      </c>
      <c r="BK154" s="20">
        <f t="shared" si="182"/>
        <v>0</v>
      </c>
      <c r="BL154" s="20">
        <f t="shared" si="182"/>
        <v>0</v>
      </c>
      <c r="BM154" s="20">
        <f t="shared" si="182"/>
        <v>0</v>
      </c>
      <c r="BN154" s="20">
        <f t="shared" si="182"/>
        <v>0</v>
      </c>
      <c r="BO154" s="20">
        <f t="shared" si="182"/>
        <v>0</v>
      </c>
      <c r="BP154" s="20">
        <f t="shared" si="182"/>
        <v>0</v>
      </c>
      <c r="BQ154" s="20">
        <f t="shared" si="182"/>
        <v>0</v>
      </c>
      <c r="BR154" s="20">
        <f t="shared" si="182"/>
        <v>0</v>
      </c>
      <c r="BS154" s="20">
        <f t="shared" si="182"/>
        <v>0</v>
      </c>
      <c r="BT154" s="20">
        <f t="shared" si="182"/>
        <v>0</v>
      </c>
      <c r="BU154" s="20">
        <f t="shared" si="182"/>
        <v>0</v>
      </c>
      <c r="BV154" s="20">
        <f t="shared" si="182"/>
        <v>1401220.92</v>
      </c>
      <c r="BW154" s="20">
        <f t="shared" si="182"/>
        <v>0</v>
      </c>
      <c r="BX154" s="20">
        <f t="shared" si="182"/>
        <v>0</v>
      </c>
      <c r="BY154" s="20">
        <f t="shared" si="182"/>
        <v>0</v>
      </c>
      <c r="BZ154" s="20">
        <f t="shared" si="182"/>
        <v>86530409</v>
      </c>
      <c r="CA154" s="20">
        <f t="shared" si="182"/>
        <v>86530409</v>
      </c>
      <c r="CB154" s="301">
        <f t="shared" si="171"/>
        <v>0</v>
      </c>
      <c r="CC154" s="301">
        <f t="shared" si="172"/>
        <v>0</v>
      </c>
      <c r="CD154" s="489"/>
      <c r="CE154" s="20">
        <f>SUM(CE133:CE153)</f>
        <v>75960100</v>
      </c>
      <c r="CF154" s="20">
        <f>SUM(CF133:CF153)</f>
        <v>67662415</v>
      </c>
      <c r="CG154" s="20">
        <f>SUM(CG133:CG153)</f>
        <v>0</v>
      </c>
      <c r="CH154" s="20">
        <f>SUM(CH133:CH153)</f>
        <v>0</v>
      </c>
      <c r="CI154" s="20">
        <f t="shared" ref="CI154:DR154" si="183">SUM(CI134:CI153)</f>
        <v>0</v>
      </c>
      <c r="CJ154" s="20">
        <f t="shared" si="183"/>
        <v>0</v>
      </c>
      <c r="CK154" s="20">
        <f t="shared" si="183"/>
        <v>214984.38</v>
      </c>
      <c r="CL154" s="20">
        <f t="shared" si="183"/>
        <v>220957.91999999998</v>
      </c>
      <c r="CM154" s="20">
        <f t="shared" si="183"/>
        <v>1079467.6800000002</v>
      </c>
      <c r="CN154" s="20">
        <f t="shared" si="183"/>
        <v>75640.290000000008</v>
      </c>
      <c r="CO154" s="20">
        <f t="shared" si="183"/>
        <v>1155107.97</v>
      </c>
      <c r="CP154" s="20">
        <f t="shared" si="183"/>
        <v>1294452.06</v>
      </c>
      <c r="CQ154" s="20">
        <f t="shared" si="183"/>
        <v>1376065.89</v>
      </c>
      <c r="CR154" s="20">
        <f t="shared" si="183"/>
        <v>956481.57000000007</v>
      </c>
      <c r="CS154" s="20">
        <f t="shared" si="183"/>
        <v>96061.39</v>
      </c>
      <c r="CT154" s="20">
        <f t="shared" si="183"/>
        <v>1052542.96</v>
      </c>
      <c r="CU154" s="20">
        <f t="shared" si="183"/>
        <v>1825926.86</v>
      </c>
      <c r="CV154" s="20">
        <f t="shared" si="183"/>
        <v>212831.87</v>
      </c>
      <c r="CW154" s="20">
        <f t="shared" si="183"/>
        <v>2038758.7300000002</v>
      </c>
      <c r="CX154" s="20">
        <f t="shared" si="183"/>
        <v>4462206.87</v>
      </c>
      <c r="CY154" s="20">
        <f t="shared" si="183"/>
        <v>449647.12</v>
      </c>
      <c r="CZ154" s="20">
        <f t="shared" si="183"/>
        <v>4911853.99</v>
      </c>
      <c r="DA154" s="20">
        <f t="shared" si="183"/>
        <v>0</v>
      </c>
      <c r="DB154" s="20">
        <f t="shared" si="183"/>
        <v>0</v>
      </c>
      <c r="DC154" s="20">
        <f t="shared" si="183"/>
        <v>0</v>
      </c>
      <c r="DD154" s="20">
        <f t="shared" si="183"/>
        <v>0</v>
      </c>
      <c r="DE154" s="20">
        <f t="shared" si="183"/>
        <v>0</v>
      </c>
      <c r="DF154" s="20">
        <f t="shared" si="183"/>
        <v>0</v>
      </c>
      <c r="DG154" s="20">
        <f t="shared" si="183"/>
        <v>0</v>
      </c>
      <c r="DH154" s="20">
        <f t="shared" si="183"/>
        <v>0</v>
      </c>
      <c r="DI154" s="20">
        <f t="shared" si="183"/>
        <v>0</v>
      </c>
      <c r="DJ154" s="20">
        <f t="shared" si="183"/>
        <v>0</v>
      </c>
      <c r="DK154" s="20">
        <f t="shared" si="183"/>
        <v>0</v>
      </c>
      <c r="DL154" s="20">
        <f t="shared" si="183"/>
        <v>0</v>
      </c>
      <c r="DM154" s="20">
        <f t="shared" si="183"/>
        <v>6556720.8799999999</v>
      </c>
      <c r="DN154" s="20">
        <f t="shared" si="183"/>
        <v>8539067.3599999994</v>
      </c>
      <c r="DO154" s="20">
        <f t="shared" si="183"/>
        <v>9379221.5700000003</v>
      </c>
      <c r="DP154" s="20">
        <f t="shared" si="183"/>
        <v>0</v>
      </c>
      <c r="DQ154" s="20">
        <f t="shared" si="183"/>
        <v>39541875.640000001</v>
      </c>
      <c r="DR154" s="20">
        <f t="shared" si="183"/>
        <v>38701721.43</v>
      </c>
      <c r="DS154" s="21">
        <f>DN154/AG154</f>
        <v>0.1775977513585788</v>
      </c>
      <c r="DT154" s="21">
        <f>DO154/AG154</f>
        <v>0.19507149786974853</v>
      </c>
      <c r="DU154" s="21"/>
      <c r="DV154" s="21"/>
      <c r="DW154" s="20"/>
      <c r="DX154" s="42"/>
      <c r="DY154" s="329"/>
    </row>
    <row r="155" spans="1:129" s="10" customFormat="1" ht="16.5" customHeight="1" thickTop="1" thickBot="1">
      <c r="A155" s="56"/>
      <c r="B155" s="18"/>
      <c r="C155" s="56"/>
      <c r="D155" s="18"/>
      <c r="E155" s="57"/>
      <c r="F155" s="411"/>
      <c r="G155" s="411"/>
      <c r="H155" s="411"/>
      <c r="I155" s="55"/>
      <c r="J155" s="55"/>
      <c r="K155" s="57"/>
      <c r="L155" s="57"/>
      <c r="M155" s="57"/>
      <c r="N155" s="57"/>
      <c r="O155" s="57"/>
      <c r="P155" s="57"/>
      <c r="Q155" s="57"/>
      <c r="R155" s="57"/>
      <c r="S155" s="57"/>
      <c r="T155" s="28"/>
      <c r="U155" s="28"/>
      <c r="V155" s="28"/>
      <c r="W155" s="18"/>
      <c r="X155" s="18"/>
      <c r="Y155" s="39"/>
      <c r="Z155" s="30"/>
      <c r="AA155" s="397" t="s">
        <v>252</v>
      </c>
      <c r="AB155" s="29"/>
      <c r="AC155" s="20" t="e">
        <f t="shared" ref="AC155:AJ155" si="184">AC8+AC14+AC46+AC53+AC68+AC92+AC102+AC130+AC154</f>
        <v>#REF!</v>
      </c>
      <c r="AD155" s="20" t="e">
        <f t="shared" si="184"/>
        <v>#REF!</v>
      </c>
      <c r="AE155" s="20" t="e">
        <f t="shared" si="184"/>
        <v>#REF!</v>
      </c>
      <c r="AF155" s="20" t="e">
        <f t="shared" si="184"/>
        <v>#REF!</v>
      </c>
      <c r="AG155" s="20">
        <f t="shared" si="184"/>
        <v>286623214.88</v>
      </c>
      <c r="AH155" s="20">
        <f t="shared" si="184"/>
        <v>12199892</v>
      </c>
      <c r="AI155" s="20">
        <f t="shared" si="184"/>
        <v>298823106.88</v>
      </c>
      <c r="AJ155" s="470">
        <f t="shared" si="184"/>
        <v>2000000</v>
      </c>
      <c r="AK155" s="20">
        <f t="shared" ref="AK155:CA155" si="185">AK8+AK14+AK46+AK53+AK68+AK92+AK102+AK130+AK154+AK106</f>
        <v>942007423</v>
      </c>
      <c r="AL155" s="476">
        <f t="shared" si="185"/>
        <v>4279296.1500000004</v>
      </c>
      <c r="AM155" s="20">
        <f t="shared" si="185"/>
        <v>304419.25</v>
      </c>
      <c r="AN155" s="20">
        <f t="shared" si="185"/>
        <v>4583715.4000000004</v>
      </c>
      <c r="AO155" s="20">
        <f t="shared" si="185"/>
        <v>0</v>
      </c>
      <c r="AP155" s="20">
        <f t="shared" si="185"/>
        <v>0</v>
      </c>
      <c r="AQ155" s="20">
        <f t="shared" si="185"/>
        <v>0</v>
      </c>
      <c r="AR155" s="20">
        <f t="shared" si="185"/>
        <v>0</v>
      </c>
      <c r="AS155" s="20">
        <f t="shared" si="185"/>
        <v>0</v>
      </c>
      <c r="AT155" s="20">
        <f t="shared" si="185"/>
        <v>0</v>
      </c>
      <c r="AU155" s="20">
        <f t="shared" si="185"/>
        <v>0</v>
      </c>
      <c r="AV155" s="20">
        <f t="shared" si="185"/>
        <v>0</v>
      </c>
      <c r="AW155" s="20">
        <f t="shared" si="185"/>
        <v>0</v>
      </c>
      <c r="AX155" s="20">
        <f t="shared" si="185"/>
        <v>0</v>
      </c>
      <c r="AY155" s="20">
        <f t="shared" si="185"/>
        <v>0</v>
      </c>
      <c r="AZ155" s="20">
        <f t="shared" si="185"/>
        <v>0</v>
      </c>
      <c r="BA155" s="20">
        <f t="shared" si="185"/>
        <v>0</v>
      </c>
      <c r="BB155" s="20">
        <f t="shared" si="185"/>
        <v>0</v>
      </c>
      <c r="BC155" s="20">
        <f t="shared" si="185"/>
        <v>0</v>
      </c>
      <c r="BD155" s="20">
        <f t="shared" si="185"/>
        <v>0</v>
      </c>
      <c r="BE155" s="20">
        <f t="shared" si="185"/>
        <v>0</v>
      </c>
      <c r="BF155" s="20">
        <f t="shared" si="185"/>
        <v>0</v>
      </c>
      <c r="BG155" s="20">
        <f t="shared" si="185"/>
        <v>0</v>
      </c>
      <c r="BH155" s="20">
        <f t="shared" si="185"/>
        <v>0</v>
      </c>
      <c r="BI155" s="20">
        <f t="shared" si="185"/>
        <v>0</v>
      </c>
      <c r="BJ155" s="20">
        <f t="shared" si="185"/>
        <v>0</v>
      </c>
      <c r="BK155" s="20">
        <f t="shared" si="185"/>
        <v>0</v>
      </c>
      <c r="BL155" s="20">
        <f t="shared" si="185"/>
        <v>0</v>
      </c>
      <c r="BM155" s="20">
        <f t="shared" si="185"/>
        <v>0</v>
      </c>
      <c r="BN155" s="20">
        <f t="shared" si="185"/>
        <v>0</v>
      </c>
      <c r="BO155" s="20">
        <f t="shared" si="185"/>
        <v>0</v>
      </c>
      <c r="BP155" s="20">
        <f t="shared" si="185"/>
        <v>0</v>
      </c>
      <c r="BQ155" s="20">
        <f t="shared" si="185"/>
        <v>0</v>
      </c>
      <c r="BR155" s="20">
        <f t="shared" si="185"/>
        <v>0</v>
      </c>
      <c r="BS155" s="20">
        <f t="shared" si="185"/>
        <v>0</v>
      </c>
      <c r="BT155" s="20">
        <f t="shared" si="185"/>
        <v>0</v>
      </c>
      <c r="BU155" s="20">
        <f t="shared" si="185"/>
        <v>0</v>
      </c>
      <c r="BV155" s="20">
        <f t="shared" si="185"/>
        <v>5180679.37</v>
      </c>
      <c r="BW155" s="20">
        <f t="shared" si="185"/>
        <v>4279296.1500000004</v>
      </c>
      <c r="BX155" s="20">
        <f t="shared" si="185"/>
        <v>4583715.4000000004</v>
      </c>
      <c r="BY155" s="20">
        <f t="shared" si="185"/>
        <v>0</v>
      </c>
      <c r="BZ155" s="20">
        <f t="shared" si="185"/>
        <v>937728126.8499999</v>
      </c>
      <c r="CA155" s="20">
        <f t="shared" si="185"/>
        <v>937423707.5999999</v>
      </c>
      <c r="CB155" s="21">
        <f t="shared" si="171"/>
        <v>4.5427414323039794E-3</v>
      </c>
      <c r="CC155" s="21">
        <f t="shared" si="172"/>
        <v>4.8659015715633068E-3</v>
      </c>
      <c r="CD155" s="489"/>
      <c r="CE155" s="20" t="e">
        <f>CE8+CE14+CE46+CE53+CE68+CE92+CE102+CE130+CE154+CE106</f>
        <v>#REF!</v>
      </c>
      <c r="CF155" s="20" t="e">
        <f>CF8+CF14+CF46+CF53+CF68+CF92+CF102+CF130+CF154+CF106</f>
        <v>#REF!</v>
      </c>
      <c r="CG155" s="20" t="e">
        <f t="shared" ref="CG155:DR155" si="186">CG8+CG14+CG46+CG53+CG68+CG92+CG102+CG130+CG154</f>
        <v>#REF!</v>
      </c>
      <c r="CH155" s="20" t="e">
        <f t="shared" si="186"/>
        <v>#REF!</v>
      </c>
      <c r="CI155" s="20" t="e">
        <f t="shared" si="186"/>
        <v>#REF!</v>
      </c>
      <c r="CJ155" s="20" t="e">
        <f t="shared" si="186"/>
        <v>#REF!</v>
      </c>
      <c r="CK155" s="20" t="e">
        <f t="shared" si="186"/>
        <v>#REF!</v>
      </c>
      <c r="CL155" s="20" t="e">
        <f t="shared" si="186"/>
        <v>#REF!</v>
      </c>
      <c r="CM155" s="20" t="e">
        <f t="shared" si="186"/>
        <v>#REF!</v>
      </c>
      <c r="CN155" s="20" t="e">
        <f t="shared" si="186"/>
        <v>#REF!</v>
      </c>
      <c r="CO155" s="20" t="e">
        <f t="shared" si="186"/>
        <v>#REF!</v>
      </c>
      <c r="CP155" s="20" t="e">
        <f t="shared" si="186"/>
        <v>#REF!</v>
      </c>
      <c r="CQ155" s="20" t="e">
        <f t="shared" si="186"/>
        <v>#REF!</v>
      </c>
      <c r="CR155" s="20" t="e">
        <f t="shared" si="186"/>
        <v>#REF!</v>
      </c>
      <c r="CS155" s="20" t="e">
        <f t="shared" si="186"/>
        <v>#REF!</v>
      </c>
      <c r="CT155" s="20" t="e">
        <f t="shared" si="186"/>
        <v>#REF!</v>
      </c>
      <c r="CU155" s="20" t="e">
        <f t="shared" si="186"/>
        <v>#REF!</v>
      </c>
      <c r="CV155" s="20" t="e">
        <f t="shared" si="186"/>
        <v>#REF!</v>
      </c>
      <c r="CW155" s="20" t="e">
        <f t="shared" si="186"/>
        <v>#REF!</v>
      </c>
      <c r="CX155" s="20" t="e">
        <f t="shared" si="186"/>
        <v>#REF!</v>
      </c>
      <c r="CY155" s="20" t="e">
        <f t="shared" si="186"/>
        <v>#REF!</v>
      </c>
      <c r="CZ155" s="20" t="e">
        <f t="shared" si="186"/>
        <v>#REF!</v>
      </c>
      <c r="DA155" s="20" t="e">
        <f t="shared" si="186"/>
        <v>#REF!</v>
      </c>
      <c r="DB155" s="20" t="e">
        <f t="shared" si="186"/>
        <v>#REF!</v>
      </c>
      <c r="DC155" s="20" t="e">
        <f t="shared" si="186"/>
        <v>#REF!</v>
      </c>
      <c r="DD155" s="20" t="e">
        <f t="shared" si="186"/>
        <v>#REF!</v>
      </c>
      <c r="DE155" s="20" t="e">
        <f t="shared" si="186"/>
        <v>#REF!</v>
      </c>
      <c r="DF155" s="20" t="e">
        <f t="shared" si="186"/>
        <v>#REF!</v>
      </c>
      <c r="DG155" s="20" t="e">
        <f t="shared" si="186"/>
        <v>#REF!</v>
      </c>
      <c r="DH155" s="20" t="e">
        <f t="shared" si="186"/>
        <v>#REF!</v>
      </c>
      <c r="DI155" s="20" t="e">
        <f t="shared" si="186"/>
        <v>#REF!</v>
      </c>
      <c r="DJ155" s="20" t="e">
        <f t="shared" si="186"/>
        <v>#REF!</v>
      </c>
      <c r="DK155" s="20" t="e">
        <f t="shared" si="186"/>
        <v>#REF!</v>
      </c>
      <c r="DL155" s="20" t="e">
        <f t="shared" si="186"/>
        <v>#REF!</v>
      </c>
      <c r="DM155" s="20" t="e">
        <f t="shared" si="186"/>
        <v>#REF!</v>
      </c>
      <c r="DN155" s="20" t="e">
        <f t="shared" si="186"/>
        <v>#REF!</v>
      </c>
      <c r="DO155" s="20" t="e">
        <f t="shared" si="186"/>
        <v>#REF!</v>
      </c>
      <c r="DP155" s="20" t="e">
        <f t="shared" si="186"/>
        <v>#REF!</v>
      </c>
      <c r="DQ155" s="20" t="e">
        <f t="shared" si="186"/>
        <v>#REF!</v>
      </c>
      <c r="DR155" s="20" t="e">
        <f t="shared" si="186"/>
        <v>#REF!</v>
      </c>
      <c r="DS155" s="21" t="e">
        <f>DN155/AG155</f>
        <v>#REF!</v>
      </c>
      <c r="DT155" s="21" t="e">
        <f>DO155/AG155</f>
        <v>#REF!</v>
      </c>
      <c r="DU155" s="304"/>
      <c r="DV155" s="304"/>
      <c r="DW155" s="54"/>
      <c r="DX155" s="64"/>
      <c r="DY155" s="329"/>
    </row>
    <row r="156" spans="1:129" s="10" customFormat="1" ht="16.5" customHeight="1" thickTop="1">
      <c r="A156" s="47"/>
      <c r="B156" s="47"/>
      <c r="C156" s="47"/>
      <c r="D156" s="47"/>
      <c r="E156" s="372"/>
      <c r="F156" s="372"/>
      <c r="G156" s="372"/>
      <c r="H156" s="372"/>
      <c r="I156" s="47"/>
      <c r="J156" s="47"/>
      <c r="K156" s="372"/>
      <c r="L156" s="372"/>
      <c r="M156" s="372"/>
      <c r="N156" s="372"/>
      <c r="O156" s="372"/>
      <c r="P156" s="372"/>
      <c r="Q156" s="372"/>
      <c r="R156" s="372"/>
      <c r="S156" s="372"/>
      <c r="W156" s="47"/>
      <c r="X156" s="47"/>
      <c r="Y156" s="34"/>
      <c r="Z156" s="34"/>
      <c r="AA156" s="373"/>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c r="BJ156" s="98"/>
      <c r="BK156" s="98"/>
      <c r="BL156" s="98"/>
      <c r="BM156" s="98"/>
      <c r="BN156" s="98"/>
      <c r="BO156" s="98"/>
      <c r="BP156" s="98"/>
      <c r="BQ156" s="98"/>
      <c r="BR156" s="98"/>
      <c r="BS156" s="98"/>
      <c r="BT156" s="98"/>
      <c r="BU156" s="98"/>
      <c r="BV156" s="98"/>
      <c r="BW156" s="98"/>
      <c r="BX156" s="98"/>
      <c r="BY156" s="98"/>
      <c r="BZ156" s="98"/>
      <c r="CA156" s="98"/>
      <c r="CB156" s="98"/>
      <c r="CC156" s="98"/>
      <c r="CD156" s="98"/>
      <c r="CE156" s="98"/>
      <c r="CF156" s="98"/>
      <c r="CG156" s="98"/>
      <c r="CH156" s="98"/>
      <c r="CI156" s="98"/>
      <c r="CJ156" s="98"/>
      <c r="CK156" s="98"/>
      <c r="CL156" s="98"/>
      <c r="CM156" s="98"/>
      <c r="CN156" s="98"/>
      <c r="CO156" s="98"/>
      <c r="CP156" s="98"/>
      <c r="CQ156" s="98"/>
      <c r="CR156" s="98"/>
      <c r="CS156" s="98"/>
      <c r="CT156" s="98"/>
      <c r="CU156" s="98"/>
      <c r="CV156" s="98"/>
      <c r="CW156" s="98"/>
      <c r="CX156" s="98"/>
      <c r="CY156" s="98"/>
      <c r="CZ156" s="98"/>
      <c r="DA156" s="98"/>
      <c r="DB156" s="98"/>
      <c r="DC156" s="98"/>
      <c r="DD156" s="98"/>
      <c r="DE156" s="98"/>
      <c r="DF156" s="98"/>
      <c r="DG156" s="98"/>
      <c r="DH156" s="98"/>
      <c r="DI156" s="98"/>
      <c r="DJ156" s="98"/>
      <c r="DK156" s="98"/>
      <c r="DL156" s="98"/>
      <c r="DM156" s="98"/>
      <c r="DN156" s="98"/>
      <c r="DO156" s="98"/>
      <c r="DP156" s="98"/>
      <c r="DQ156" s="98"/>
      <c r="DR156" s="98"/>
      <c r="DS156" s="374"/>
      <c r="DT156" s="374"/>
      <c r="DU156" s="374"/>
      <c r="DV156" s="374"/>
      <c r="DW156" s="98"/>
      <c r="DX156" s="108"/>
      <c r="DY156" s="329"/>
    </row>
    <row r="157" spans="1:129" s="10" customFormat="1" ht="16.5" customHeight="1">
      <c r="A157" s="47"/>
      <c r="B157" s="47"/>
      <c r="C157" s="47"/>
      <c r="D157" s="47"/>
      <c r="E157" s="372"/>
      <c r="F157" s="372"/>
      <c r="G157" s="372"/>
      <c r="H157" s="372"/>
      <c r="I157" s="47"/>
      <c r="J157" s="47"/>
      <c r="K157" s="372"/>
      <c r="L157" s="372"/>
      <c r="M157" s="372"/>
      <c r="N157" s="372"/>
      <c r="O157" s="372"/>
      <c r="P157" s="372"/>
      <c r="Q157" s="372"/>
      <c r="R157" s="372"/>
      <c r="S157" s="372"/>
      <c r="W157" s="47"/>
      <c r="X157" s="47"/>
      <c r="Y157" s="34"/>
      <c r="Z157" s="34"/>
      <c r="AA157" s="373"/>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98"/>
      <c r="BS157" s="98"/>
      <c r="BT157" s="98"/>
      <c r="BU157" s="98"/>
      <c r="BV157" s="98"/>
      <c r="BW157" s="98"/>
      <c r="BX157" s="98"/>
      <c r="BY157" s="98"/>
      <c r="BZ157" s="98"/>
      <c r="CA157" s="98"/>
      <c r="CB157" s="98"/>
      <c r="CC157" s="98"/>
      <c r="CD157" s="98"/>
      <c r="CE157" s="98"/>
      <c r="CF157" s="98"/>
      <c r="CG157" s="98"/>
      <c r="CH157" s="98"/>
      <c r="CI157" s="98"/>
      <c r="CJ157" s="98"/>
      <c r="CK157" s="98"/>
      <c r="CL157" s="98"/>
      <c r="CM157" s="98"/>
      <c r="CN157" s="98"/>
      <c r="CO157" s="98"/>
      <c r="CP157" s="98"/>
      <c r="CQ157" s="98"/>
      <c r="CR157" s="98"/>
      <c r="CS157" s="98"/>
      <c r="CT157" s="98"/>
      <c r="CU157" s="98"/>
      <c r="CV157" s="98"/>
      <c r="CW157" s="98"/>
      <c r="CX157" s="98"/>
      <c r="CY157" s="98"/>
      <c r="CZ157" s="98"/>
      <c r="DA157" s="98"/>
      <c r="DB157" s="98"/>
      <c r="DC157" s="98"/>
      <c r="DD157" s="98"/>
      <c r="DE157" s="98"/>
      <c r="DF157" s="98"/>
      <c r="DG157" s="98"/>
      <c r="DH157" s="98"/>
      <c r="DI157" s="98"/>
      <c r="DJ157" s="98"/>
      <c r="DK157" s="98"/>
      <c r="DL157" s="98"/>
      <c r="DM157" s="98"/>
      <c r="DN157" s="98"/>
      <c r="DO157" s="98"/>
      <c r="DP157" s="98"/>
      <c r="DQ157" s="98"/>
      <c r="DR157" s="98"/>
      <c r="DS157" s="374"/>
      <c r="DT157" s="374"/>
      <c r="DU157" s="374"/>
      <c r="DV157" s="374"/>
      <c r="DW157" s="98"/>
      <c r="DX157" s="108"/>
      <c r="DY157" s="329"/>
    </row>
    <row r="158" spans="1:129" s="249" customFormat="1" ht="16.5" hidden="1" thickBot="1">
      <c r="A158" s="375"/>
      <c r="B158" s="376"/>
      <c r="C158" s="375"/>
      <c r="D158" s="376"/>
      <c r="E158" s="377"/>
      <c r="F158" s="377"/>
      <c r="G158" s="377"/>
      <c r="H158" s="377"/>
      <c r="I158" s="376"/>
      <c r="J158" s="376"/>
      <c r="K158" s="377"/>
      <c r="L158" s="377"/>
      <c r="M158" s="377"/>
      <c r="N158" s="377"/>
      <c r="O158" s="377"/>
      <c r="P158" s="377"/>
      <c r="Q158" s="377"/>
      <c r="R158" s="377"/>
      <c r="S158" s="377"/>
      <c r="T158" s="378"/>
      <c r="U158" s="378"/>
      <c r="V158" s="378"/>
      <c r="W158" s="376"/>
      <c r="X158" s="376"/>
      <c r="Y158" s="379"/>
      <c r="Z158" s="379"/>
      <c r="AA158" s="380" t="s">
        <v>516</v>
      </c>
      <c r="AB158" s="378"/>
      <c r="AC158" s="381" t="e">
        <f>+#REF!-#REF!</f>
        <v>#REF!</v>
      </c>
      <c r="AD158" s="381"/>
      <c r="AE158" s="382"/>
      <c r="AF158" s="382"/>
      <c r="AG158" s="382"/>
      <c r="AH158" s="382"/>
      <c r="AI158" s="382"/>
      <c r="AJ158" s="382"/>
      <c r="AK158" s="382"/>
      <c r="AL158" s="382"/>
      <c r="AM158" s="382"/>
      <c r="AN158" s="382"/>
      <c r="AO158" s="382"/>
      <c r="AP158" s="382"/>
      <c r="AQ158" s="382"/>
      <c r="AR158" s="382"/>
      <c r="AS158" s="382"/>
      <c r="AT158" s="382"/>
      <c r="AU158" s="382"/>
      <c r="AV158" s="382"/>
      <c r="AW158" s="382"/>
      <c r="AX158" s="382"/>
      <c r="AY158" s="382"/>
      <c r="AZ158" s="382"/>
      <c r="BA158" s="382"/>
      <c r="BB158" s="382"/>
      <c r="BC158" s="382"/>
      <c r="BD158" s="382"/>
      <c r="BE158" s="382"/>
      <c r="BF158" s="382"/>
      <c r="BG158" s="382"/>
      <c r="BH158" s="382"/>
      <c r="BI158" s="382"/>
      <c r="BJ158" s="382"/>
      <c r="BK158" s="382"/>
      <c r="BL158" s="382"/>
      <c r="BM158" s="382"/>
      <c r="BN158" s="382"/>
      <c r="BO158" s="382"/>
      <c r="BP158" s="382"/>
      <c r="BQ158" s="382"/>
      <c r="BR158" s="382"/>
      <c r="BS158" s="382"/>
      <c r="BT158" s="382"/>
      <c r="BU158" s="382"/>
      <c r="BV158" s="382"/>
      <c r="BW158" s="382"/>
      <c r="BX158" s="382"/>
      <c r="BY158" s="382"/>
      <c r="BZ158" s="382"/>
      <c r="CA158" s="382"/>
      <c r="CB158" s="382"/>
      <c r="CC158" s="382"/>
      <c r="CD158" s="382"/>
      <c r="CE158" s="381"/>
      <c r="CF158" s="383"/>
      <c r="CG158" s="343"/>
      <c r="CH158" s="343"/>
      <c r="CI158" s="74"/>
      <c r="CJ158" s="74"/>
      <c r="CK158" s="74"/>
      <c r="CL158" s="74"/>
      <c r="CM158" s="74"/>
      <c r="CN158" s="74"/>
      <c r="CO158" s="343"/>
      <c r="CP158" s="343"/>
      <c r="CQ158" s="343"/>
      <c r="CR158" s="74"/>
      <c r="CS158" s="74"/>
      <c r="CT158" s="74"/>
      <c r="CU158" s="74"/>
      <c r="CV158" s="74"/>
      <c r="CW158" s="74"/>
      <c r="CX158" s="74"/>
      <c r="CY158" s="74"/>
      <c r="CZ158" s="74"/>
      <c r="DA158" s="74"/>
      <c r="DB158" s="74"/>
      <c r="DC158" s="74"/>
      <c r="DD158" s="74"/>
      <c r="DE158" s="74"/>
      <c r="DF158" s="74"/>
      <c r="DG158" s="74"/>
      <c r="DH158" s="74"/>
      <c r="DI158" s="74"/>
      <c r="DJ158" s="74"/>
      <c r="DK158" s="74"/>
      <c r="DL158" s="74"/>
      <c r="DM158" s="74"/>
      <c r="DN158" s="345"/>
      <c r="DO158" s="346"/>
      <c r="DP158" s="347"/>
      <c r="DQ158" s="74"/>
      <c r="DR158" s="344"/>
      <c r="DS158" s="74"/>
      <c r="DT158" s="343"/>
      <c r="DU158" s="343"/>
      <c r="DV158" s="343"/>
      <c r="DW158" s="343"/>
      <c r="DX158" s="343"/>
      <c r="DY158" s="340"/>
    </row>
    <row r="159" spans="1:129" s="341" customFormat="1" ht="15" hidden="1" customHeight="1">
      <c r="A159" s="348" t="s">
        <v>9</v>
      </c>
      <c r="B159" s="119"/>
      <c r="C159" s="348"/>
      <c r="D159" s="119"/>
      <c r="E159" s="248">
        <v>620005</v>
      </c>
      <c r="F159" s="248"/>
      <c r="G159" s="248"/>
      <c r="H159" s="248"/>
      <c r="I159" s="119"/>
      <c r="J159" s="119"/>
      <c r="K159" s="248"/>
      <c r="L159" s="250"/>
      <c r="M159" s="403"/>
      <c r="N159" s="248"/>
      <c r="O159" s="250"/>
      <c r="P159" s="248"/>
      <c r="Q159" s="248"/>
      <c r="R159" s="250"/>
      <c r="S159" s="250"/>
      <c r="T159" s="119" t="s">
        <v>520</v>
      </c>
      <c r="U159" s="119"/>
      <c r="V159" s="119"/>
      <c r="W159" s="265" t="s">
        <v>36</v>
      </c>
      <c r="X159" s="265" t="s">
        <v>56</v>
      </c>
      <c r="Y159" s="251"/>
      <c r="Z159" s="349"/>
      <c r="AA159" s="119" t="s">
        <v>513</v>
      </c>
      <c r="AB159" s="350" t="s">
        <v>514</v>
      </c>
      <c r="AC159" s="266"/>
      <c r="AD159" s="266"/>
      <c r="AE159" s="124"/>
      <c r="AF159" s="124"/>
      <c r="AG159" s="124">
        <f>AE159+AF159</f>
        <v>0</v>
      </c>
      <c r="AH159" s="124"/>
      <c r="AI159" s="124">
        <f>+AG159+AH159</f>
        <v>0</v>
      </c>
      <c r="AJ159" s="124"/>
      <c r="AK159" s="266">
        <v>0</v>
      </c>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266"/>
      <c r="BU159" s="266"/>
      <c r="BV159" s="266"/>
      <c r="BW159" s="266"/>
      <c r="BX159" s="266"/>
      <c r="BY159" s="266"/>
      <c r="BZ159" s="266"/>
      <c r="CA159" s="266"/>
      <c r="CB159" s="266"/>
      <c r="CC159" s="266"/>
      <c r="CD159" s="266"/>
      <c r="CE159" s="266">
        <v>0</v>
      </c>
      <c r="CF159" s="351">
        <v>50000000</v>
      </c>
      <c r="CG159" s="340"/>
      <c r="CH159" s="340"/>
      <c r="CI159" s="318"/>
      <c r="CJ159" s="124"/>
      <c r="CK159" s="267"/>
      <c r="CL159" s="124"/>
      <c r="CM159" s="267"/>
      <c r="CN159" s="267"/>
      <c r="CO159" s="124"/>
      <c r="CP159" s="124"/>
      <c r="CQ159" s="124"/>
      <c r="CR159" s="267"/>
      <c r="CS159" s="267"/>
      <c r="CT159" s="124"/>
      <c r="CU159" s="267"/>
      <c r="CV159" s="267"/>
      <c r="CW159" s="124"/>
      <c r="CX159" s="267"/>
      <c r="CY159" s="267"/>
      <c r="CZ159" s="124"/>
      <c r="DA159" s="267"/>
      <c r="DB159" s="124"/>
      <c r="DC159" s="267"/>
      <c r="DD159" s="124"/>
      <c r="DE159" s="267"/>
      <c r="DF159" s="124"/>
      <c r="DG159" s="267"/>
      <c r="DH159" s="124"/>
      <c r="DI159" s="267"/>
      <c r="DJ159" s="124"/>
      <c r="DK159" s="267"/>
      <c r="DL159" s="124"/>
      <c r="DM159" s="267"/>
      <c r="DN159" s="338"/>
      <c r="DO159" s="338"/>
      <c r="DP159" s="124"/>
      <c r="DQ159" s="124"/>
      <c r="DR159" s="124"/>
      <c r="DS159" s="339"/>
      <c r="DT159" s="339"/>
      <c r="DU159" s="124"/>
      <c r="DV159" s="124"/>
      <c r="DW159" s="267">
        <v>50000000</v>
      </c>
      <c r="DX159" s="267"/>
    </row>
    <row r="160" spans="1:129" s="341" customFormat="1" ht="15" hidden="1" customHeight="1">
      <c r="A160" s="348"/>
      <c r="B160" s="119"/>
      <c r="C160" s="348"/>
      <c r="D160" s="119"/>
      <c r="E160" s="248"/>
      <c r="F160" s="248"/>
      <c r="G160" s="248"/>
      <c r="H160" s="248"/>
      <c r="I160" s="119"/>
      <c r="J160" s="119"/>
      <c r="K160" s="248"/>
      <c r="L160" s="250"/>
      <c r="M160" s="403"/>
      <c r="N160" s="248"/>
      <c r="O160" s="250"/>
      <c r="P160" s="248"/>
      <c r="Q160" s="248"/>
      <c r="R160" s="250"/>
      <c r="S160" s="250"/>
      <c r="T160" s="119"/>
      <c r="U160" s="119"/>
      <c r="V160" s="119"/>
      <c r="W160" s="265"/>
      <c r="X160" s="265"/>
      <c r="Y160" s="251"/>
      <c r="Z160" s="349"/>
      <c r="AA160" s="119"/>
      <c r="AB160" s="350"/>
      <c r="AC160" s="266"/>
      <c r="AD160" s="266"/>
      <c r="AE160" s="124"/>
      <c r="AF160" s="124"/>
      <c r="AG160" s="124"/>
      <c r="AH160" s="124"/>
      <c r="AI160" s="124"/>
      <c r="AJ160" s="124"/>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266"/>
      <c r="BU160" s="266"/>
      <c r="BV160" s="266"/>
      <c r="BW160" s="266"/>
      <c r="BX160" s="266"/>
      <c r="BY160" s="266"/>
      <c r="BZ160" s="266"/>
      <c r="CA160" s="266"/>
      <c r="CB160" s="266"/>
      <c r="CC160" s="266"/>
      <c r="CD160" s="266"/>
      <c r="CE160" s="266"/>
      <c r="CF160" s="351"/>
      <c r="CG160" s="340"/>
      <c r="CH160" s="340"/>
      <c r="CI160" s="340"/>
      <c r="CJ160" s="124"/>
      <c r="CK160" s="352"/>
      <c r="CL160" s="124"/>
      <c r="CM160" s="352"/>
      <c r="CN160" s="352"/>
      <c r="CO160" s="124"/>
      <c r="CP160" s="124"/>
      <c r="CQ160" s="124"/>
      <c r="CR160" s="352"/>
      <c r="CS160" s="352"/>
      <c r="CT160" s="124"/>
      <c r="CU160" s="352"/>
      <c r="CV160" s="352"/>
      <c r="CW160" s="124"/>
      <c r="CX160" s="352"/>
      <c r="CY160" s="352"/>
      <c r="CZ160" s="124"/>
      <c r="DA160" s="352"/>
      <c r="DB160" s="124"/>
      <c r="DC160" s="352"/>
      <c r="DD160" s="124"/>
      <c r="DE160" s="352"/>
      <c r="DF160" s="124"/>
      <c r="DG160" s="352"/>
      <c r="DH160" s="124"/>
      <c r="DI160" s="352"/>
      <c r="DJ160" s="124"/>
      <c r="DK160" s="352"/>
      <c r="DL160" s="124"/>
      <c r="DM160" s="352"/>
      <c r="DN160" s="338"/>
      <c r="DO160" s="338"/>
      <c r="DP160" s="124"/>
      <c r="DQ160" s="124"/>
      <c r="DR160" s="124"/>
      <c r="DS160" s="339"/>
      <c r="DT160" s="339"/>
      <c r="DU160" s="124"/>
      <c r="DV160" s="124"/>
      <c r="DW160" s="267"/>
      <c r="DX160" s="267"/>
    </row>
    <row r="161" spans="1:129" s="341" customFormat="1" ht="15" hidden="1" customHeight="1">
      <c r="A161" s="348" t="s">
        <v>9</v>
      </c>
      <c r="B161" s="119"/>
      <c r="C161" s="348"/>
      <c r="D161" s="119"/>
      <c r="E161" s="248">
        <v>615095</v>
      </c>
      <c r="F161" s="248"/>
      <c r="G161" s="248"/>
      <c r="H161" s="248"/>
      <c r="I161" s="119"/>
      <c r="J161" s="119"/>
      <c r="K161" s="248"/>
      <c r="L161" s="250"/>
      <c r="M161" s="403"/>
      <c r="N161" s="248"/>
      <c r="O161" s="250"/>
      <c r="P161" s="248"/>
      <c r="Q161" s="248"/>
      <c r="R161" s="250"/>
      <c r="S161" s="250"/>
      <c r="T161" s="119" t="s">
        <v>78</v>
      </c>
      <c r="U161" s="119"/>
      <c r="V161" s="119"/>
      <c r="W161" s="265" t="s">
        <v>36</v>
      </c>
      <c r="X161" s="265" t="s">
        <v>56</v>
      </c>
      <c r="Y161" s="251"/>
      <c r="Z161" s="349"/>
      <c r="AA161" s="119" t="s">
        <v>515</v>
      </c>
      <c r="AB161" s="119" t="s">
        <v>8</v>
      </c>
      <c r="AC161" s="266"/>
      <c r="AD161" s="266"/>
      <c r="AE161" s="124"/>
      <c r="AF161" s="124"/>
      <c r="AG161" s="124">
        <f>AE161+AF161</f>
        <v>0</v>
      </c>
      <c r="AH161" s="124"/>
      <c r="AI161" s="124">
        <f>+AG161+AH161</f>
        <v>0</v>
      </c>
      <c r="AJ161" s="124"/>
      <c r="AK161" s="266">
        <v>0</v>
      </c>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266"/>
      <c r="BU161" s="266"/>
      <c r="BV161" s="266"/>
      <c r="BW161" s="266"/>
      <c r="BX161" s="266"/>
      <c r="BY161" s="266"/>
      <c r="BZ161" s="266"/>
      <c r="CA161" s="266"/>
      <c r="CB161" s="266"/>
      <c r="CC161" s="266"/>
      <c r="CD161" s="266"/>
      <c r="CE161" s="266">
        <v>0</v>
      </c>
      <c r="CF161" s="353">
        <v>3500000</v>
      </c>
      <c r="CG161" s="343"/>
      <c r="CH161" s="343"/>
      <c r="CI161" s="354"/>
      <c r="CJ161" s="124"/>
      <c r="CK161" s="266"/>
      <c r="CL161" s="124"/>
      <c r="CM161" s="266"/>
      <c r="CN161" s="266"/>
      <c r="CO161" s="124"/>
      <c r="CP161" s="124"/>
      <c r="CQ161" s="124"/>
      <c r="CR161" s="266"/>
      <c r="CS161" s="266"/>
      <c r="CT161" s="124"/>
      <c r="CU161" s="266"/>
      <c r="CV161" s="266"/>
      <c r="CW161" s="124"/>
      <c r="CX161" s="266"/>
      <c r="CY161" s="266"/>
      <c r="CZ161" s="124"/>
      <c r="DA161" s="266"/>
      <c r="DB161" s="124"/>
      <c r="DC161" s="266"/>
      <c r="DD161" s="124"/>
      <c r="DE161" s="266"/>
      <c r="DF161" s="124"/>
      <c r="DG161" s="266"/>
      <c r="DH161" s="124"/>
      <c r="DI161" s="266"/>
      <c r="DJ161" s="124"/>
      <c r="DK161" s="266"/>
      <c r="DL161" s="124"/>
      <c r="DM161" s="266"/>
      <c r="DN161" s="338"/>
      <c r="DO161" s="338"/>
      <c r="DP161" s="124"/>
      <c r="DQ161" s="124"/>
      <c r="DR161" s="124"/>
      <c r="DS161" s="339"/>
      <c r="DT161" s="339"/>
      <c r="DU161" s="339"/>
      <c r="DV161" s="339"/>
      <c r="DW161" s="124"/>
      <c r="DX161" s="267"/>
    </row>
    <row r="162" spans="1:129" s="249" customFormat="1" ht="16.5" hidden="1" thickBot="1">
      <c r="A162" s="355"/>
      <c r="B162" s="356"/>
      <c r="C162" s="355"/>
      <c r="D162" s="356"/>
      <c r="E162" s="357"/>
      <c r="F162" s="357"/>
      <c r="G162" s="357"/>
      <c r="H162" s="357"/>
      <c r="I162" s="356"/>
      <c r="J162" s="356"/>
      <c r="K162" s="357"/>
      <c r="L162" s="357"/>
      <c r="M162" s="357"/>
      <c r="N162" s="357"/>
      <c r="O162" s="357"/>
      <c r="P162" s="357"/>
      <c r="Q162" s="357"/>
      <c r="R162" s="357"/>
      <c r="S162" s="357"/>
      <c r="T162" s="265"/>
      <c r="U162" s="265"/>
      <c r="V162" s="265"/>
      <c r="W162" s="356"/>
      <c r="X162" s="356"/>
      <c r="Y162" s="349"/>
      <c r="Z162" s="349"/>
      <c r="AA162" s="358"/>
      <c r="AB162" s="265"/>
      <c r="AC162" s="359"/>
      <c r="AD162" s="359"/>
      <c r="AE162" s="266"/>
      <c r="AF162" s="266"/>
      <c r="AG162" s="266"/>
      <c r="AH162" s="266"/>
      <c r="AI162" s="266"/>
      <c r="AJ162" s="266"/>
      <c r="AK162" s="360">
        <f>SUM(AK161:AK161)</f>
        <v>0</v>
      </c>
      <c r="AL162" s="360"/>
      <c r="AM162" s="360"/>
      <c r="AN162" s="360"/>
      <c r="AO162" s="360"/>
      <c r="AP162" s="360"/>
      <c r="AQ162" s="360"/>
      <c r="AR162" s="360"/>
      <c r="AS162" s="360"/>
      <c r="AT162" s="360"/>
      <c r="AU162" s="360"/>
      <c r="AV162" s="360"/>
      <c r="AW162" s="360"/>
      <c r="AX162" s="360"/>
      <c r="AY162" s="360"/>
      <c r="AZ162" s="360"/>
      <c r="BA162" s="360"/>
      <c r="BB162" s="360"/>
      <c r="BC162" s="360"/>
      <c r="BD162" s="360"/>
      <c r="BE162" s="360"/>
      <c r="BF162" s="360"/>
      <c r="BG162" s="360"/>
      <c r="BH162" s="360"/>
      <c r="BI162" s="360"/>
      <c r="BJ162" s="360"/>
      <c r="BK162" s="360"/>
      <c r="BL162" s="360"/>
      <c r="BM162" s="360"/>
      <c r="BN162" s="360"/>
      <c r="BO162" s="360"/>
      <c r="BP162" s="360"/>
      <c r="BQ162" s="360"/>
      <c r="BR162" s="360"/>
      <c r="BS162" s="360"/>
      <c r="BT162" s="360"/>
      <c r="BU162" s="360"/>
      <c r="BV162" s="360"/>
      <c r="BW162" s="360"/>
      <c r="BX162" s="360"/>
      <c r="BY162" s="360"/>
      <c r="BZ162" s="360"/>
      <c r="CA162" s="360"/>
      <c r="CB162" s="360"/>
      <c r="CC162" s="360"/>
      <c r="CD162" s="360"/>
      <c r="CE162" s="360">
        <f>SUM(CE161:CE161)</f>
        <v>0</v>
      </c>
      <c r="CF162" s="363">
        <f>SUM(CF161:CF161)</f>
        <v>3500000</v>
      </c>
      <c r="CG162" s="342"/>
      <c r="CH162" s="342"/>
      <c r="CI162" s="74"/>
      <c r="CJ162" s="74"/>
      <c r="CK162" s="74"/>
      <c r="CL162" s="74"/>
      <c r="CM162" s="74"/>
      <c r="CN162" s="74"/>
      <c r="CO162" s="343"/>
      <c r="CP162" s="343"/>
      <c r="CQ162" s="343"/>
      <c r="CR162" s="74"/>
      <c r="CS162" s="74"/>
      <c r="CT162" s="74"/>
      <c r="CU162" s="74"/>
      <c r="CV162" s="74"/>
      <c r="CW162" s="74"/>
      <c r="CX162" s="74"/>
      <c r="CY162" s="74"/>
      <c r="CZ162" s="74"/>
      <c r="DA162" s="74"/>
      <c r="DB162" s="74"/>
      <c r="DC162" s="74"/>
      <c r="DD162" s="74"/>
      <c r="DE162" s="74"/>
      <c r="DF162" s="74"/>
      <c r="DG162" s="74"/>
      <c r="DH162" s="74"/>
      <c r="DI162" s="74"/>
      <c r="DJ162" s="74"/>
      <c r="DK162" s="74"/>
      <c r="DL162" s="74"/>
      <c r="DM162" s="74"/>
      <c r="DN162" s="345"/>
      <c r="DO162" s="346"/>
      <c r="DP162" s="347"/>
      <c r="DQ162" s="74"/>
      <c r="DR162" s="343"/>
      <c r="DS162" s="74"/>
      <c r="DT162" s="343"/>
      <c r="DU162" s="343"/>
      <c r="DV162" s="343"/>
      <c r="DW162" s="343"/>
      <c r="DX162" s="343"/>
      <c r="DY162" s="340"/>
    </row>
    <row r="163" spans="1:129" s="249" customFormat="1" ht="16.5" hidden="1" thickBot="1">
      <c r="A163" s="364"/>
      <c r="B163" s="365"/>
      <c r="C163" s="364"/>
      <c r="D163" s="365"/>
      <c r="E163" s="366"/>
      <c r="F163" s="366"/>
      <c r="G163" s="366"/>
      <c r="H163" s="366"/>
      <c r="I163" s="365"/>
      <c r="J163" s="365"/>
      <c r="K163" s="366"/>
      <c r="L163" s="366"/>
      <c r="M163" s="366"/>
      <c r="N163" s="366"/>
      <c r="O163" s="366"/>
      <c r="P163" s="366"/>
      <c r="Q163" s="366"/>
      <c r="R163" s="366"/>
      <c r="S163" s="366"/>
      <c r="T163" s="362"/>
      <c r="U163" s="362"/>
      <c r="V163" s="362"/>
      <c r="W163" s="365"/>
      <c r="X163" s="365"/>
      <c r="Y163" s="367"/>
      <c r="Z163" s="367"/>
      <c r="AA163" s="368"/>
      <c r="AB163" s="362"/>
      <c r="AC163" s="369"/>
      <c r="AD163" s="369"/>
      <c r="AE163" s="370"/>
      <c r="AF163" s="370"/>
      <c r="AG163" s="370"/>
      <c r="AH163" s="370"/>
      <c r="AI163" s="370"/>
      <c r="AJ163" s="370"/>
      <c r="AK163" s="370"/>
      <c r="AL163" s="370"/>
      <c r="AM163" s="370"/>
      <c r="AN163" s="370"/>
      <c r="AO163" s="370"/>
      <c r="AP163" s="370"/>
      <c r="AQ163" s="370"/>
      <c r="AR163" s="370"/>
      <c r="AS163" s="370"/>
      <c r="AT163" s="370"/>
      <c r="AU163" s="370"/>
      <c r="AV163" s="370"/>
      <c r="AW163" s="370"/>
      <c r="AX163" s="370"/>
      <c r="AY163" s="370"/>
      <c r="AZ163" s="370"/>
      <c r="BA163" s="370"/>
      <c r="BB163" s="370"/>
      <c r="BC163" s="370"/>
      <c r="BD163" s="370"/>
      <c r="BE163" s="370"/>
      <c r="BF163" s="370"/>
      <c r="BG163" s="370"/>
      <c r="BH163" s="370"/>
      <c r="BI163" s="370"/>
      <c r="BJ163" s="370"/>
      <c r="BK163" s="370"/>
      <c r="BL163" s="370"/>
      <c r="BM163" s="370"/>
      <c r="BN163" s="370"/>
      <c r="BO163" s="370"/>
      <c r="BP163" s="370"/>
      <c r="BQ163" s="370"/>
      <c r="BR163" s="370"/>
      <c r="BS163" s="370"/>
      <c r="BT163" s="370"/>
      <c r="BU163" s="370"/>
      <c r="BV163" s="370"/>
      <c r="BW163" s="370"/>
      <c r="BX163" s="370"/>
      <c r="BY163" s="370"/>
      <c r="BZ163" s="370"/>
      <c r="CA163" s="370"/>
      <c r="CB163" s="370"/>
      <c r="CC163" s="370"/>
      <c r="CD163" s="370"/>
      <c r="CE163" s="369"/>
      <c r="CF163" s="371"/>
      <c r="CG163" s="343"/>
      <c r="CH163" s="343"/>
      <c r="CI163" s="74"/>
      <c r="CJ163" s="74"/>
      <c r="CK163" s="74"/>
      <c r="CL163" s="74"/>
      <c r="CM163" s="74"/>
      <c r="CN163" s="74"/>
      <c r="CO163" s="343"/>
      <c r="CP163" s="343"/>
      <c r="CQ163" s="343"/>
      <c r="CR163" s="74"/>
      <c r="CS163" s="74"/>
      <c r="CT163" s="74"/>
      <c r="CU163" s="74"/>
      <c r="CV163" s="74"/>
      <c r="CW163" s="74"/>
      <c r="CX163" s="74"/>
      <c r="CY163" s="74"/>
      <c r="CZ163" s="74"/>
      <c r="DA163" s="74"/>
      <c r="DB163" s="74"/>
      <c r="DC163" s="74"/>
      <c r="DD163" s="74"/>
      <c r="DE163" s="74"/>
      <c r="DF163" s="74"/>
      <c r="DG163" s="74"/>
      <c r="DH163" s="74"/>
      <c r="DI163" s="74"/>
      <c r="DJ163" s="74"/>
      <c r="DK163" s="74"/>
      <c r="DL163" s="74"/>
      <c r="DM163" s="74"/>
      <c r="DN163" s="345"/>
      <c r="DO163" s="346"/>
      <c r="DP163" s="347"/>
      <c r="DQ163" s="74"/>
      <c r="DR163" s="343"/>
      <c r="DS163" s="74"/>
      <c r="DT163" s="343"/>
      <c r="DU163" s="343"/>
      <c r="DV163" s="343"/>
      <c r="DW163" s="343"/>
      <c r="DX163" s="343"/>
      <c r="DY163" s="340"/>
    </row>
    <row r="164" spans="1:129" s="10" customFormat="1">
      <c r="A164" s="68"/>
      <c r="B164" s="68"/>
      <c r="C164" s="68"/>
      <c r="D164" s="68"/>
      <c r="E164" s="69"/>
      <c r="F164" s="69"/>
      <c r="G164" s="69"/>
      <c r="H164" s="69"/>
      <c r="I164" s="68"/>
      <c r="J164" s="68"/>
      <c r="K164" s="69"/>
      <c r="L164" s="69"/>
      <c r="M164" s="69"/>
      <c r="N164" s="69"/>
      <c r="O164" s="69"/>
      <c r="P164" s="69"/>
      <c r="Q164" s="69"/>
      <c r="R164" s="69"/>
      <c r="S164" s="69"/>
      <c r="T164" s="70"/>
      <c r="U164" s="70"/>
      <c r="V164" s="70"/>
      <c r="W164" s="68"/>
      <c r="X164" s="68"/>
      <c r="Y164" s="50"/>
      <c r="Z164" s="50"/>
      <c r="AA164" s="71"/>
      <c r="AB164" s="70"/>
      <c r="AC164" s="72"/>
      <c r="AD164" s="72"/>
      <c r="AE164" s="73"/>
      <c r="AF164" s="73"/>
      <c r="AG164" s="73"/>
      <c r="AH164" s="73"/>
      <c r="AI164" s="73"/>
      <c r="AJ164" s="252"/>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2"/>
      <c r="CF164" s="73"/>
      <c r="CG164" s="73"/>
      <c r="CH164" s="73"/>
      <c r="CI164" s="72"/>
      <c r="CJ164" s="72"/>
      <c r="CK164" s="72"/>
      <c r="CL164" s="72"/>
      <c r="CM164" s="72"/>
      <c r="CN164" s="72"/>
      <c r="CO164" s="73"/>
      <c r="CP164" s="73"/>
      <c r="CQ164" s="73"/>
      <c r="CR164" s="72"/>
      <c r="CS164" s="72"/>
      <c r="CT164" s="72"/>
      <c r="CU164" s="72"/>
      <c r="CV164" s="72"/>
      <c r="CW164" s="72"/>
      <c r="CX164" s="72"/>
      <c r="CY164" s="72"/>
      <c r="CZ164" s="72"/>
      <c r="DA164" s="72"/>
      <c r="DB164" s="72"/>
      <c r="DC164" s="72"/>
      <c r="DD164" s="72"/>
      <c r="DE164" s="72"/>
      <c r="DF164" s="72"/>
      <c r="DG164" s="72"/>
      <c r="DH164" s="72"/>
      <c r="DI164" s="72"/>
      <c r="DJ164" s="72"/>
      <c r="DK164" s="72"/>
      <c r="DL164" s="72"/>
      <c r="DM164" s="72"/>
      <c r="DN164" s="75"/>
      <c r="DO164" s="76"/>
      <c r="DP164" s="77"/>
      <c r="DQ164" s="72"/>
      <c r="DR164" s="73"/>
      <c r="DS164" s="72"/>
      <c r="DT164" s="73"/>
      <c r="DU164" s="73"/>
      <c r="DV164" s="73"/>
      <c r="DW164" s="73"/>
      <c r="DX164" s="73"/>
      <c r="DY164" s="329"/>
    </row>
    <row r="165" spans="1:129" s="10" customFormat="1">
      <c r="A165" s="68"/>
      <c r="B165" s="68"/>
      <c r="C165" s="68"/>
      <c r="D165" s="68"/>
      <c r="E165" s="69"/>
      <c r="F165" s="69"/>
      <c r="G165" s="69"/>
      <c r="H165" s="69"/>
      <c r="I165" s="68"/>
      <c r="J165" s="68"/>
      <c r="K165" s="69"/>
      <c r="L165" s="69"/>
      <c r="M165" s="69"/>
      <c r="N165" s="69"/>
      <c r="O165" s="69"/>
      <c r="P165" s="69"/>
      <c r="Q165" s="69"/>
      <c r="R165" s="69"/>
      <c r="S165" s="69"/>
      <c r="T165" s="70"/>
      <c r="U165" s="70"/>
      <c r="V165" s="70"/>
      <c r="W165" s="68"/>
      <c r="X165" s="68"/>
      <c r="Y165" s="50"/>
      <c r="Z165" s="50"/>
      <c r="AA165" s="71"/>
      <c r="AB165" s="70"/>
      <c r="AC165" s="72"/>
      <c r="AD165" s="72"/>
      <c r="AE165" s="73"/>
      <c r="AF165" s="73"/>
      <c r="AG165" s="73"/>
      <c r="AH165" s="73"/>
      <c r="AI165" s="73"/>
      <c r="AJ165" s="252"/>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2"/>
      <c r="CF165" s="73"/>
      <c r="CG165" s="73"/>
      <c r="CH165" s="73"/>
      <c r="CI165" s="72"/>
      <c r="CJ165" s="72"/>
      <c r="CK165" s="72"/>
      <c r="CL165" s="72"/>
      <c r="CM165" s="72"/>
      <c r="CN165" s="72"/>
      <c r="CO165" s="73"/>
      <c r="CP165" s="73"/>
      <c r="CQ165" s="73"/>
      <c r="CR165" s="72"/>
      <c r="CS165" s="72"/>
      <c r="CT165" s="72"/>
      <c r="CU165" s="72"/>
      <c r="CV165" s="72"/>
      <c r="CW165" s="72"/>
      <c r="CX165" s="72"/>
      <c r="CY165" s="72"/>
      <c r="CZ165" s="72"/>
      <c r="DA165" s="72"/>
      <c r="DB165" s="72"/>
      <c r="DC165" s="72"/>
      <c r="DD165" s="72"/>
      <c r="DE165" s="72"/>
      <c r="DF165" s="72"/>
      <c r="DG165" s="72"/>
      <c r="DH165" s="72"/>
      <c r="DI165" s="72"/>
      <c r="DJ165" s="72"/>
      <c r="DK165" s="72"/>
      <c r="DL165" s="72"/>
      <c r="DM165" s="72"/>
      <c r="DN165" s="75"/>
      <c r="DO165" s="76"/>
      <c r="DP165" s="77"/>
      <c r="DQ165" s="72"/>
      <c r="DR165" s="73"/>
      <c r="DS165" s="72"/>
      <c r="DT165" s="73"/>
      <c r="DU165" s="73"/>
      <c r="DV165" s="73"/>
      <c r="DW165" s="73"/>
      <c r="DX165" s="73"/>
      <c r="DY165" s="329"/>
    </row>
    <row r="166" spans="1:129" s="10" customFormat="1" hidden="1">
      <c r="A166" s="68"/>
      <c r="B166" s="68"/>
      <c r="C166" s="68"/>
      <c r="D166" s="68"/>
      <c r="E166" s="69"/>
      <c r="F166" s="69"/>
      <c r="G166" s="69"/>
      <c r="H166" s="69"/>
      <c r="I166" s="68"/>
      <c r="J166" s="68"/>
      <c r="K166" s="69"/>
      <c r="L166" s="69"/>
      <c r="M166" s="69"/>
      <c r="N166" s="69"/>
      <c r="O166" s="69"/>
      <c r="P166" s="69"/>
      <c r="Q166" s="69"/>
      <c r="R166" s="69"/>
      <c r="S166" s="69"/>
      <c r="T166" s="70"/>
      <c r="U166" s="70"/>
      <c r="V166" s="70"/>
      <c r="W166" s="68"/>
      <c r="X166" s="68"/>
      <c r="Y166" s="50"/>
      <c r="Z166" s="50"/>
      <c r="AA166" s="71"/>
      <c r="AB166" s="70"/>
      <c r="AC166" s="72"/>
      <c r="AD166" s="72"/>
      <c r="AE166" s="73"/>
      <c r="AF166" s="73"/>
      <c r="AG166" s="73"/>
      <c r="AH166" s="73"/>
      <c r="AI166" s="73"/>
      <c r="AJ166" s="252"/>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2"/>
      <c r="CF166" s="73"/>
      <c r="CG166" s="73"/>
      <c r="CH166" s="73"/>
      <c r="CI166" s="72"/>
      <c r="CJ166" s="72"/>
      <c r="CK166" s="72"/>
      <c r="CL166" s="72"/>
      <c r="CM166" s="72"/>
      <c r="CN166" s="72"/>
      <c r="CO166" s="73"/>
      <c r="CP166" s="73"/>
      <c r="CQ166" s="73"/>
      <c r="CR166" s="72"/>
      <c r="CS166" s="72"/>
      <c r="CT166" s="72"/>
      <c r="CU166" s="72"/>
      <c r="CV166" s="72"/>
      <c r="CW166" s="72"/>
      <c r="CX166" s="72"/>
      <c r="CY166" s="72"/>
      <c r="CZ166" s="72"/>
      <c r="DA166" s="72"/>
      <c r="DB166" s="72"/>
      <c r="DC166" s="72"/>
      <c r="DD166" s="72"/>
      <c r="DE166" s="72"/>
      <c r="DF166" s="72"/>
      <c r="DG166" s="72"/>
      <c r="DH166" s="72"/>
      <c r="DI166" s="72"/>
      <c r="DJ166" s="72"/>
      <c r="DK166" s="72"/>
      <c r="DL166" s="72"/>
      <c r="DM166" s="72"/>
      <c r="DN166" s="75"/>
      <c r="DO166" s="76"/>
      <c r="DP166" s="77"/>
      <c r="DQ166" s="72"/>
      <c r="DR166" s="73"/>
      <c r="DS166" s="72"/>
      <c r="DT166" s="73"/>
      <c r="DU166" s="73"/>
      <c r="DV166" s="73"/>
      <c r="DW166" s="73"/>
      <c r="DX166" s="73"/>
      <c r="DY166" s="329"/>
    </row>
    <row r="167" spans="1:129" s="1" customFormat="1" ht="33" hidden="1" customHeight="1">
      <c r="A167" s="61" t="s">
        <v>9</v>
      </c>
      <c r="B167" s="24"/>
      <c r="C167" s="61"/>
      <c r="D167" s="24"/>
      <c r="E167" s="3">
        <v>620005</v>
      </c>
      <c r="F167" s="406"/>
      <c r="G167" s="406"/>
      <c r="H167" s="406"/>
      <c r="I167" s="9" t="s">
        <v>42</v>
      </c>
      <c r="J167" s="10" t="s">
        <v>33</v>
      </c>
      <c r="K167" s="3"/>
      <c r="L167" s="11"/>
      <c r="M167" s="45"/>
      <c r="N167" s="3"/>
      <c r="O167" s="11"/>
      <c r="P167" s="3"/>
      <c r="Q167" s="3"/>
      <c r="R167" s="11" t="s">
        <v>198</v>
      </c>
      <c r="S167" s="11"/>
      <c r="T167" s="12" t="s">
        <v>20</v>
      </c>
      <c r="U167" s="12"/>
      <c r="V167" s="12"/>
      <c r="W167" s="51" t="s">
        <v>36</v>
      </c>
      <c r="X167" s="51" t="s">
        <v>56</v>
      </c>
      <c r="Y167" s="13" t="s">
        <v>69</v>
      </c>
      <c r="Z167" s="400"/>
      <c r="AA167" s="10" t="s">
        <v>546</v>
      </c>
      <c r="AB167" s="110" t="s">
        <v>37</v>
      </c>
      <c r="AC167" s="59"/>
      <c r="AD167" s="59"/>
      <c r="AE167" s="7"/>
      <c r="AF167" s="7"/>
      <c r="AG167" s="7">
        <f t="shared" ref="AG167:AG176" si="187">AE167+AF167</f>
        <v>0</v>
      </c>
      <c r="AH167" s="7"/>
      <c r="AI167" s="7">
        <f t="shared" ref="AI167:AI176" si="188">+AG167+AH167</f>
        <v>0</v>
      </c>
      <c r="AJ167" s="7"/>
      <c r="AK167" s="59">
        <v>0</v>
      </c>
      <c r="AL167" s="59"/>
      <c r="AM167" s="59"/>
      <c r="AN167" s="59"/>
      <c r="AO167" s="59"/>
      <c r="AP167" s="59"/>
      <c r="AQ167" s="59"/>
      <c r="AR167" s="59"/>
      <c r="AS167" s="59"/>
      <c r="AT167" s="59"/>
      <c r="AU167" s="59"/>
      <c r="AV167" s="59"/>
      <c r="AW167" s="59"/>
      <c r="AX167" s="59"/>
      <c r="AY167" s="59"/>
      <c r="AZ167" s="59"/>
      <c r="BA167" s="59"/>
      <c r="BB167" s="59"/>
      <c r="BC167" s="59"/>
      <c r="BD167" s="59"/>
      <c r="BE167" s="59"/>
      <c r="BF167" s="59"/>
      <c r="BG167" s="59"/>
      <c r="BH167" s="59"/>
      <c r="BI167" s="59"/>
      <c r="BJ167" s="59"/>
      <c r="BK167" s="59"/>
      <c r="BL167" s="59"/>
      <c r="BM167" s="59"/>
      <c r="BN167" s="59"/>
      <c r="BO167" s="59"/>
      <c r="BP167" s="59"/>
      <c r="BQ167" s="59"/>
      <c r="BR167" s="59"/>
      <c r="BS167" s="59"/>
      <c r="BT167" s="59"/>
      <c r="BU167" s="59"/>
      <c r="BV167" s="59"/>
      <c r="BW167" s="59"/>
      <c r="BX167" s="59"/>
      <c r="BY167" s="59"/>
      <c r="BZ167" s="59"/>
      <c r="CA167" s="59"/>
      <c r="CB167" s="59"/>
      <c r="CC167" s="59"/>
      <c r="CD167" s="59"/>
      <c r="CE167" s="59">
        <v>0</v>
      </c>
      <c r="CF167" s="27">
        <v>6000000</v>
      </c>
      <c r="CG167" s="27"/>
      <c r="CH167" s="27"/>
      <c r="CI167" s="27"/>
      <c r="CJ167" s="7"/>
      <c r="CK167" s="27"/>
      <c r="CL167" s="7"/>
      <c r="CM167" s="27"/>
      <c r="CN167" s="27"/>
      <c r="CO167" s="7"/>
      <c r="CP167" s="7"/>
      <c r="CQ167" s="7"/>
      <c r="CR167" s="27"/>
      <c r="CS167" s="27"/>
      <c r="CT167" s="7"/>
      <c r="CU167" s="27"/>
      <c r="CV167" s="27"/>
      <c r="CW167" s="7"/>
      <c r="CX167" s="27"/>
      <c r="CY167" s="27"/>
      <c r="CZ167" s="7"/>
      <c r="DA167" s="27"/>
      <c r="DB167" s="7"/>
      <c r="DC167" s="27"/>
      <c r="DD167" s="7"/>
      <c r="DE167" s="27"/>
      <c r="DF167" s="7"/>
      <c r="DG167" s="27"/>
      <c r="DH167" s="7"/>
      <c r="DI167" s="27"/>
      <c r="DJ167" s="7"/>
      <c r="DK167" s="27"/>
      <c r="DL167" s="7"/>
      <c r="DM167" s="27"/>
      <c r="DN167" s="14"/>
      <c r="DO167" s="14"/>
      <c r="DP167" s="7"/>
      <c r="DQ167" s="7"/>
      <c r="DR167" s="7"/>
      <c r="DS167" s="15"/>
      <c r="DT167" s="15"/>
      <c r="DU167" s="7"/>
      <c r="DV167" s="7"/>
      <c r="DW167" s="27">
        <v>6000000</v>
      </c>
      <c r="DX167" s="27"/>
      <c r="DY167" s="109"/>
    </row>
    <row r="168" spans="1:129" s="1" customFormat="1" ht="38.25" hidden="1" customHeight="1">
      <c r="A168" s="61" t="s">
        <v>9</v>
      </c>
      <c r="B168" s="24"/>
      <c r="C168" s="61"/>
      <c r="D168" s="24"/>
      <c r="E168" s="3">
        <v>620005</v>
      </c>
      <c r="F168" s="406"/>
      <c r="G168" s="406"/>
      <c r="H168" s="406"/>
      <c r="I168" s="9" t="s">
        <v>42</v>
      </c>
      <c r="J168" s="10" t="s">
        <v>33</v>
      </c>
      <c r="K168" s="3"/>
      <c r="L168" s="11"/>
      <c r="M168" s="45"/>
      <c r="N168" s="3"/>
      <c r="O168" s="11"/>
      <c r="P168" s="3"/>
      <c r="Q168" s="3"/>
      <c r="R168" s="11" t="s">
        <v>198</v>
      </c>
      <c r="S168" s="11"/>
      <c r="T168" s="12" t="s">
        <v>20</v>
      </c>
      <c r="U168" s="12"/>
      <c r="V168" s="12"/>
      <c r="W168" s="12" t="s">
        <v>36</v>
      </c>
      <c r="X168" s="12" t="s">
        <v>56</v>
      </c>
      <c r="Y168" s="13" t="s">
        <v>69</v>
      </c>
      <c r="Z168" s="25"/>
      <c r="AA168" s="10" t="s">
        <v>547</v>
      </c>
      <c r="AB168" s="110" t="s">
        <v>37</v>
      </c>
      <c r="AC168" s="27"/>
      <c r="AD168" s="27"/>
      <c r="AE168" s="7"/>
      <c r="AF168" s="7"/>
      <c r="AG168" s="7">
        <f t="shared" si="187"/>
        <v>0</v>
      </c>
      <c r="AH168" s="7"/>
      <c r="AI168" s="7">
        <f t="shared" si="188"/>
        <v>0</v>
      </c>
      <c r="AJ168" s="7"/>
      <c r="AK168" s="27">
        <v>0</v>
      </c>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v>0</v>
      </c>
      <c r="CF168" s="27">
        <v>5000000</v>
      </c>
      <c r="CG168" s="27"/>
      <c r="CH168" s="27"/>
      <c r="CI168" s="27"/>
      <c r="CJ168" s="7"/>
      <c r="CK168" s="27"/>
      <c r="CL168" s="7"/>
      <c r="CM168" s="27"/>
      <c r="CN168" s="27"/>
      <c r="CO168" s="7"/>
      <c r="CP168" s="7"/>
      <c r="CQ168" s="7"/>
      <c r="CR168" s="27"/>
      <c r="CS168" s="27"/>
      <c r="CT168" s="7"/>
      <c r="CU168" s="27"/>
      <c r="CV168" s="27"/>
      <c r="CW168" s="7"/>
      <c r="CX168" s="27"/>
      <c r="CY168" s="27"/>
      <c r="CZ168" s="7"/>
      <c r="DA168" s="27"/>
      <c r="DB168" s="7"/>
      <c r="DC168" s="27"/>
      <c r="DD168" s="7"/>
      <c r="DE168" s="27"/>
      <c r="DF168" s="7"/>
      <c r="DG168" s="27"/>
      <c r="DH168" s="7"/>
      <c r="DI168" s="27"/>
      <c r="DJ168" s="7"/>
      <c r="DK168" s="27"/>
      <c r="DL168" s="7"/>
      <c r="DM168" s="27"/>
      <c r="DN168" s="14"/>
      <c r="DO168" s="14"/>
      <c r="DP168" s="7"/>
      <c r="DQ168" s="7"/>
      <c r="DR168" s="7"/>
      <c r="DS168" s="15"/>
      <c r="DT168" s="15"/>
      <c r="DU168" s="7"/>
      <c r="DV168" s="7"/>
      <c r="DW168" s="27">
        <v>5000000</v>
      </c>
      <c r="DX168" s="27"/>
      <c r="DY168" s="109"/>
    </row>
    <row r="169" spans="1:129" s="1" customFormat="1" ht="15" hidden="1" customHeight="1">
      <c r="A169" s="61" t="s">
        <v>9</v>
      </c>
      <c r="B169" s="24"/>
      <c r="C169" s="61"/>
      <c r="D169" s="24"/>
      <c r="E169" s="3">
        <v>620005</v>
      </c>
      <c r="F169" s="406"/>
      <c r="G169" s="406"/>
      <c r="H169" s="406"/>
      <c r="I169" s="9" t="s">
        <v>42</v>
      </c>
      <c r="J169" s="10" t="s">
        <v>33</v>
      </c>
      <c r="K169" s="3"/>
      <c r="L169" s="11"/>
      <c r="M169" s="45"/>
      <c r="N169" s="3"/>
      <c r="O169" s="11"/>
      <c r="P169" s="3"/>
      <c r="Q169" s="3"/>
      <c r="R169" s="11" t="s">
        <v>198</v>
      </c>
      <c r="S169" s="11"/>
      <c r="T169" s="12" t="s">
        <v>20</v>
      </c>
      <c r="U169" s="12"/>
      <c r="V169" s="12"/>
      <c r="W169" s="51" t="s">
        <v>36</v>
      </c>
      <c r="X169" s="51" t="s">
        <v>56</v>
      </c>
      <c r="Y169" s="13" t="s">
        <v>69</v>
      </c>
      <c r="Z169" s="400"/>
      <c r="AA169" s="10" t="s">
        <v>548</v>
      </c>
      <c r="AB169" s="110" t="s">
        <v>37</v>
      </c>
      <c r="AC169" s="59"/>
      <c r="AD169" s="59"/>
      <c r="AE169" s="7"/>
      <c r="AF169" s="7"/>
      <c r="AG169" s="7">
        <f t="shared" si="187"/>
        <v>0</v>
      </c>
      <c r="AH169" s="7"/>
      <c r="AI169" s="7">
        <f t="shared" si="188"/>
        <v>0</v>
      </c>
      <c r="AJ169" s="7"/>
      <c r="AK169" s="59">
        <v>0</v>
      </c>
      <c r="AL169" s="59"/>
      <c r="AM169" s="59"/>
      <c r="AN169" s="59"/>
      <c r="AO169" s="59"/>
      <c r="AP169" s="59"/>
      <c r="AQ169" s="59"/>
      <c r="AR169" s="59"/>
      <c r="AS169" s="59"/>
      <c r="AT169" s="59"/>
      <c r="AU169" s="59"/>
      <c r="AV169" s="59"/>
      <c r="AW169" s="59"/>
      <c r="AX169" s="59"/>
      <c r="AY169" s="59"/>
      <c r="AZ169" s="59"/>
      <c r="BA169" s="59"/>
      <c r="BB169" s="59"/>
      <c r="BC169" s="59"/>
      <c r="BD169" s="59"/>
      <c r="BE169" s="59"/>
      <c r="BF169" s="59"/>
      <c r="BG169" s="59"/>
      <c r="BH169" s="59"/>
      <c r="BI169" s="59"/>
      <c r="BJ169" s="59"/>
      <c r="BK169" s="59"/>
      <c r="BL169" s="59"/>
      <c r="BM169" s="59"/>
      <c r="BN169" s="59"/>
      <c r="BO169" s="59"/>
      <c r="BP169" s="59"/>
      <c r="BQ169" s="59"/>
      <c r="BR169" s="59"/>
      <c r="BS169" s="59"/>
      <c r="BT169" s="59"/>
      <c r="BU169" s="59"/>
      <c r="BV169" s="59"/>
      <c r="BW169" s="59"/>
      <c r="BX169" s="59"/>
      <c r="BY169" s="59"/>
      <c r="BZ169" s="59"/>
      <c r="CA169" s="59"/>
      <c r="CB169" s="59"/>
      <c r="CC169" s="59"/>
      <c r="CD169" s="59"/>
      <c r="CE169" s="59">
        <v>0</v>
      </c>
      <c r="CF169" s="27">
        <v>4000000</v>
      </c>
      <c r="CG169" s="27"/>
      <c r="CH169" s="27"/>
      <c r="CI169" s="27"/>
      <c r="CJ169" s="7"/>
      <c r="CK169" s="27"/>
      <c r="CL169" s="7"/>
      <c r="CM169" s="27"/>
      <c r="CN169" s="27"/>
      <c r="CO169" s="7"/>
      <c r="CP169" s="7"/>
      <c r="CQ169" s="7"/>
      <c r="CR169" s="27"/>
      <c r="CS169" s="27"/>
      <c r="CT169" s="7"/>
      <c r="CU169" s="27"/>
      <c r="CV169" s="27"/>
      <c r="CW169" s="7"/>
      <c r="CX169" s="27"/>
      <c r="CY169" s="27"/>
      <c r="CZ169" s="7"/>
      <c r="DA169" s="27"/>
      <c r="DB169" s="7"/>
      <c r="DC169" s="27"/>
      <c r="DD169" s="7"/>
      <c r="DE169" s="27"/>
      <c r="DF169" s="7"/>
      <c r="DG169" s="27"/>
      <c r="DH169" s="7"/>
      <c r="DI169" s="27"/>
      <c r="DJ169" s="7"/>
      <c r="DK169" s="27"/>
      <c r="DL169" s="7"/>
      <c r="DM169" s="27"/>
      <c r="DN169" s="14"/>
      <c r="DO169" s="14"/>
      <c r="DP169" s="7"/>
      <c r="DQ169" s="7"/>
      <c r="DR169" s="7"/>
      <c r="DS169" s="15"/>
      <c r="DT169" s="15"/>
      <c r="DU169" s="7"/>
      <c r="DV169" s="7"/>
      <c r="DW169" s="27">
        <v>4000000</v>
      </c>
      <c r="DX169" s="27"/>
      <c r="DY169" s="109"/>
    </row>
    <row r="170" spans="1:129" s="1" customFormat="1" ht="15" hidden="1" customHeight="1">
      <c r="A170" s="61" t="s">
        <v>9</v>
      </c>
      <c r="B170" s="24"/>
      <c r="C170" s="61"/>
      <c r="D170" s="24"/>
      <c r="E170" s="3">
        <v>620005</v>
      </c>
      <c r="F170" s="406"/>
      <c r="G170" s="406"/>
      <c r="H170" s="406"/>
      <c r="I170" s="9" t="s">
        <v>42</v>
      </c>
      <c r="J170" s="10" t="s">
        <v>33</v>
      </c>
      <c r="K170" s="3"/>
      <c r="L170" s="11"/>
      <c r="M170" s="45"/>
      <c r="N170" s="3"/>
      <c r="O170" s="11"/>
      <c r="P170" s="3"/>
      <c r="Q170" s="3"/>
      <c r="R170" s="11" t="s">
        <v>198</v>
      </c>
      <c r="S170" s="11"/>
      <c r="T170" s="12" t="s">
        <v>20</v>
      </c>
      <c r="U170" s="12"/>
      <c r="V170" s="12"/>
      <c r="W170" s="51" t="s">
        <v>36</v>
      </c>
      <c r="X170" s="51" t="s">
        <v>56</v>
      </c>
      <c r="Y170" s="13" t="s">
        <v>69</v>
      </c>
      <c r="Z170" s="400"/>
      <c r="AA170" s="10" t="s">
        <v>549</v>
      </c>
      <c r="AB170" s="110" t="s">
        <v>37</v>
      </c>
      <c r="AC170" s="59"/>
      <c r="AD170" s="59"/>
      <c r="AE170" s="7"/>
      <c r="AF170" s="7"/>
      <c r="AG170" s="7">
        <f t="shared" si="187"/>
        <v>0</v>
      </c>
      <c r="AH170" s="7"/>
      <c r="AI170" s="7">
        <f t="shared" si="188"/>
        <v>0</v>
      </c>
      <c r="AJ170" s="7"/>
      <c r="AK170" s="59">
        <v>0</v>
      </c>
      <c r="AL170" s="59"/>
      <c r="AM170" s="59"/>
      <c r="AN170" s="59"/>
      <c r="AO170" s="59"/>
      <c r="AP170" s="59"/>
      <c r="AQ170" s="59"/>
      <c r="AR170" s="59"/>
      <c r="AS170" s="59"/>
      <c r="AT170" s="59"/>
      <c r="AU170" s="59"/>
      <c r="AV170" s="59"/>
      <c r="AW170" s="59"/>
      <c r="AX170" s="59"/>
      <c r="AY170" s="59"/>
      <c r="AZ170" s="59"/>
      <c r="BA170" s="59"/>
      <c r="BB170" s="59"/>
      <c r="BC170" s="59"/>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c r="CA170" s="59"/>
      <c r="CB170" s="59"/>
      <c r="CC170" s="59"/>
      <c r="CD170" s="59"/>
      <c r="CE170" s="59">
        <v>0</v>
      </c>
      <c r="CF170" s="27">
        <v>5000000</v>
      </c>
      <c r="CG170" s="27"/>
      <c r="CH170" s="27"/>
      <c r="CI170" s="27"/>
      <c r="CJ170" s="7"/>
      <c r="CK170" s="27"/>
      <c r="CL170" s="7"/>
      <c r="CM170" s="27"/>
      <c r="CN170" s="27"/>
      <c r="CO170" s="7"/>
      <c r="CP170" s="7"/>
      <c r="CQ170" s="7"/>
      <c r="CR170" s="27"/>
      <c r="CS170" s="27"/>
      <c r="CT170" s="7"/>
      <c r="CU170" s="27"/>
      <c r="CV170" s="27"/>
      <c r="CW170" s="7"/>
      <c r="CX170" s="27"/>
      <c r="CY170" s="27"/>
      <c r="CZ170" s="7"/>
      <c r="DA170" s="27"/>
      <c r="DB170" s="7"/>
      <c r="DC170" s="27"/>
      <c r="DD170" s="7"/>
      <c r="DE170" s="27"/>
      <c r="DF170" s="7"/>
      <c r="DG170" s="27"/>
      <c r="DH170" s="7"/>
      <c r="DI170" s="27"/>
      <c r="DJ170" s="7"/>
      <c r="DK170" s="27"/>
      <c r="DL170" s="7"/>
      <c r="DM170" s="27"/>
      <c r="DN170" s="14"/>
      <c r="DO170" s="14"/>
      <c r="DP170" s="7"/>
      <c r="DQ170" s="7"/>
      <c r="DR170" s="7"/>
      <c r="DS170" s="15"/>
      <c r="DT170" s="15"/>
      <c r="DU170" s="7"/>
      <c r="DV170" s="7"/>
      <c r="DW170" s="27">
        <v>5000000</v>
      </c>
      <c r="DX170" s="27"/>
      <c r="DY170" s="109"/>
    </row>
    <row r="171" spans="1:129" s="1" customFormat="1" ht="15" hidden="1" customHeight="1">
      <c r="A171" s="61" t="s">
        <v>9</v>
      </c>
      <c r="B171" s="24"/>
      <c r="C171" s="61"/>
      <c r="D171" s="24"/>
      <c r="E171" s="3">
        <v>620005</v>
      </c>
      <c r="F171" s="406"/>
      <c r="G171" s="406"/>
      <c r="H171" s="406"/>
      <c r="I171" s="9" t="s">
        <v>42</v>
      </c>
      <c r="J171" s="10" t="s">
        <v>33</v>
      </c>
      <c r="K171" s="3"/>
      <c r="L171" s="11"/>
      <c r="M171" s="45"/>
      <c r="N171" s="3"/>
      <c r="O171" s="11"/>
      <c r="P171" s="3"/>
      <c r="Q171" s="3"/>
      <c r="R171" s="11" t="s">
        <v>198</v>
      </c>
      <c r="S171" s="11"/>
      <c r="T171" s="12" t="s">
        <v>20</v>
      </c>
      <c r="U171" s="12"/>
      <c r="V171" s="12"/>
      <c r="W171" s="51" t="s">
        <v>36</v>
      </c>
      <c r="X171" s="51" t="s">
        <v>56</v>
      </c>
      <c r="Y171" s="13" t="s">
        <v>69</v>
      </c>
      <c r="Z171" s="400"/>
      <c r="AA171" s="10" t="s">
        <v>550</v>
      </c>
      <c r="AB171" s="110" t="s">
        <v>37</v>
      </c>
      <c r="AC171" s="59"/>
      <c r="AD171" s="59"/>
      <c r="AE171" s="7"/>
      <c r="AF171" s="7"/>
      <c r="AG171" s="7">
        <f t="shared" si="187"/>
        <v>0</v>
      </c>
      <c r="AH171" s="7"/>
      <c r="AI171" s="7">
        <f t="shared" si="188"/>
        <v>0</v>
      </c>
      <c r="AJ171" s="7"/>
      <c r="AK171" s="59">
        <v>0</v>
      </c>
      <c r="AL171" s="59"/>
      <c r="AM171" s="59"/>
      <c r="AN171" s="59"/>
      <c r="AO171" s="59"/>
      <c r="AP171" s="59"/>
      <c r="AQ171" s="59"/>
      <c r="AR171" s="59"/>
      <c r="AS171" s="59"/>
      <c r="AT171" s="59"/>
      <c r="AU171" s="59"/>
      <c r="AV171" s="59"/>
      <c r="AW171" s="59"/>
      <c r="AX171" s="59"/>
      <c r="AY171" s="59"/>
      <c r="AZ171" s="59"/>
      <c r="BA171" s="59"/>
      <c r="BB171" s="59"/>
      <c r="BC171" s="59"/>
      <c r="BD171" s="59"/>
      <c r="BE171" s="59"/>
      <c r="BF171" s="59"/>
      <c r="BG171" s="59"/>
      <c r="BH171" s="59"/>
      <c r="BI171" s="59"/>
      <c r="BJ171" s="59"/>
      <c r="BK171" s="59"/>
      <c r="BL171" s="59"/>
      <c r="BM171" s="59"/>
      <c r="BN171" s="59"/>
      <c r="BO171" s="59"/>
      <c r="BP171" s="59"/>
      <c r="BQ171" s="59"/>
      <c r="BR171" s="59"/>
      <c r="BS171" s="59"/>
      <c r="BT171" s="59"/>
      <c r="BU171" s="59"/>
      <c r="BV171" s="59"/>
      <c r="BW171" s="59"/>
      <c r="BX171" s="59"/>
      <c r="BY171" s="59"/>
      <c r="BZ171" s="59"/>
      <c r="CA171" s="59"/>
      <c r="CB171" s="59"/>
      <c r="CC171" s="59"/>
      <c r="CD171" s="59"/>
      <c r="CE171" s="59">
        <v>0</v>
      </c>
      <c r="CF171" s="27">
        <v>2000000</v>
      </c>
      <c r="CG171" s="27"/>
      <c r="CH171" s="27"/>
      <c r="CI171" s="27"/>
      <c r="CJ171" s="7"/>
      <c r="CK171" s="27"/>
      <c r="CL171" s="7"/>
      <c r="CM171" s="27"/>
      <c r="CN171" s="27"/>
      <c r="CO171" s="7"/>
      <c r="CP171" s="7"/>
      <c r="CQ171" s="7"/>
      <c r="CR171" s="27"/>
      <c r="CS171" s="27"/>
      <c r="CT171" s="7"/>
      <c r="CU171" s="27"/>
      <c r="CV171" s="27"/>
      <c r="CW171" s="7"/>
      <c r="CX171" s="27"/>
      <c r="CY171" s="27"/>
      <c r="CZ171" s="7"/>
      <c r="DA171" s="27"/>
      <c r="DB171" s="7"/>
      <c r="DC171" s="27"/>
      <c r="DD171" s="7"/>
      <c r="DE171" s="27"/>
      <c r="DF171" s="7"/>
      <c r="DG171" s="27"/>
      <c r="DH171" s="7"/>
      <c r="DI171" s="27"/>
      <c r="DJ171" s="7"/>
      <c r="DK171" s="27"/>
      <c r="DL171" s="7"/>
      <c r="DM171" s="27"/>
      <c r="DN171" s="14"/>
      <c r="DO171" s="14"/>
      <c r="DP171" s="7"/>
      <c r="DQ171" s="7"/>
      <c r="DR171" s="7"/>
      <c r="DS171" s="15"/>
      <c r="DT171" s="15"/>
      <c r="DU171" s="7"/>
      <c r="DV171" s="7"/>
      <c r="DW171" s="27">
        <v>2000000</v>
      </c>
      <c r="DX171" s="27"/>
      <c r="DY171" s="109"/>
    </row>
    <row r="172" spans="1:129" s="1" customFormat="1" ht="15" hidden="1" customHeight="1">
      <c r="A172" s="61" t="s">
        <v>9</v>
      </c>
      <c r="B172" s="24"/>
      <c r="C172" s="61"/>
      <c r="D172" s="24"/>
      <c r="E172" s="3">
        <v>620005</v>
      </c>
      <c r="F172" s="406"/>
      <c r="G172" s="406"/>
      <c r="H172" s="406"/>
      <c r="I172" s="9" t="s">
        <v>42</v>
      </c>
      <c r="J172" s="10" t="s">
        <v>33</v>
      </c>
      <c r="K172" s="3"/>
      <c r="L172" s="11"/>
      <c r="M172" s="45"/>
      <c r="N172" s="3"/>
      <c r="O172" s="11"/>
      <c r="P172" s="3"/>
      <c r="Q172" s="3"/>
      <c r="R172" s="11" t="s">
        <v>198</v>
      </c>
      <c r="S172" s="11"/>
      <c r="T172" s="12" t="s">
        <v>20</v>
      </c>
      <c r="U172" s="12"/>
      <c r="V172" s="12"/>
      <c r="W172" s="51" t="s">
        <v>36</v>
      </c>
      <c r="X172" s="51" t="s">
        <v>56</v>
      </c>
      <c r="Y172" s="13" t="s">
        <v>69</v>
      </c>
      <c r="Z172" s="400"/>
      <c r="AA172" s="10" t="s">
        <v>551</v>
      </c>
      <c r="AB172" s="110" t="s">
        <v>37</v>
      </c>
      <c r="AC172" s="59"/>
      <c r="AD172" s="59"/>
      <c r="AE172" s="7"/>
      <c r="AF172" s="7"/>
      <c r="AG172" s="7">
        <f t="shared" si="187"/>
        <v>0</v>
      </c>
      <c r="AH172" s="7"/>
      <c r="AI172" s="7">
        <f t="shared" si="188"/>
        <v>0</v>
      </c>
      <c r="AJ172" s="7"/>
      <c r="AK172" s="59">
        <v>0</v>
      </c>
      <c r="AL172" s="59"/>
      <c r="AM172" s="59"/>
      <c r="AN172" s="59"/>
      <c r="AO172" s="59"/>
      <c r="AP172" s="59"/>
      <c r="AQ172" s="59"/>
      <c r="AR172" s="59"/>
      <c r="AS172" s="59"/>
      <c r="AT172" s="59"/>
      <c r="AU172" s="59"/>
      <c r="AV172" s="59"/>
      <c r="AW172" s="59"/>
      <c r="AX172" s="59"/>
      <c r="AY172" s="59"/>
      <c r="AZ172" s="59"/>
      <c r="BA172" s="59"/>
      <c r="BB172" s="59"/>
      <c r="BC172" s="59"/>
      <c r="BD172" s="59"/>
      <c r="BE172" s="59"/>
      <c r="BF172" s="59"/>
      <c r="BG172" s="59"/>
      <c r="BH172" s="59"/>
      <c r="BI172" s="59"/>
      <c r="BJ172" s="59"/>
      <c r="BK172" s="59"/>
      <c r="BL172" s="59"/>
      <c r="BM172" s="59"/>
      <c r="BN172" s="59"/>
      <c r="BO172" s="59"/>
      <c r="BP172" s="59"/>
      <c r="BQ172" s="59"/>
      <c r="BR172" s="59"/>
      <c r="BS172" s="59"/>
      <c r="BT172" s="59"/>
      <c r="BU172" s="59"/>
      <c r="BV172" s="59"/>
      <c r="BW172" s="59"/>
      <c r="BX172" s="59"/>
      <c r="BY172" s="59"/>
      <c r="BZ172" s="59"/>
      <c r="CA172" s="59"/>
      <c r="CB172" s="59"/>
      <c r="CC172" s="59"/>
      <c r="CD172" s="59"/>
      <c r="CE172" s="59">
        <v>0</v>
      </c>
      <c r="CF172" s="27">
        <v>1500000</v>
      </c>
      <c r="CG172" s="27"/>
      <c r="CH172" s="27"/>
      <c r="CI172" s="27"/>
      <c r="CJ172" s="7"/>
      <c r="CK172" s="27"/>
      <c r="CL172" s="7"/>
      <c r="CM172" s="27"/>
      <c r="CN172" s="27"/>
      <c r="CO172" s="7"/>
      <c r="CP172" s="7"/>
      <c r="CQ172" s="7"/>
      <c r="CR172" s="27"/>
      <c r="CS172" s="27"/>
      <c r="CT172" s="7"/>
      <c r="CU172" s="27"/>
      <c r="CV172" s="27"/>
      <c r="CW172" s="7"/>
      <c r="CX172" s="27"/>
      <c r="CY172" s="27"/>
      <c r="CZ172" s="7"/>
      <c r="DA172" s="27"/>
      <c r="DB172" s="7"/>
      <c r="DC172" s="27"/>
      <c r="DD172" s="7"/>
      <c r="DE172" s="27"/>
      <c r="DF172" s="7"/>
      <c r="DG172" s="27"/>
      <c r="DH172" s="7"/>
      <c r="DI172" s="27"/>
      <c r="DJ172" s="7"/>
      <c r="DK172" s="27"/>
      <c r="DL172" s="7"/>
      <c r="DM172" s="27"/>
      <c r="DN172" s="14"/>
      <c r="DO172" s="14"/>
      <c r="DP172" s="7"/>
      <c r="DQ172" s="7"/>
      <c r="DR172" s="7"/>
      <c r="DS172" s="15"/>
      <c r="DT172" s="15"/>
      <c r="DU172" s="7"/>
      <c r="DV172" s="7"/>
      <c r="DW172" s="27">
        <v>1500000</v>
      </c>
      <c r="DX172" s="27"/>
      <c r="DY172" s="109"/>
    </row>
    <row r="173" spans="1:129" s="1" customFormat="1" ht="15" hidden="1" customHeight="1">
      <c r="A173" s="61" t="s">
        <v>9</v>
      </c>
      <c r="B173" s="24"/>
      <c r="C173" s="61"/>
      <c r="D173" s="24"/>
      <c r="E173" s="3">
        <v>620005</v>
      </c>
      <c r="F173" s="406"/>
      <c r="G173" s="406"/>
      <c r="H173" s="406"/>
      <c r="I173" s="9" t="s">
        <v>42</v>
      </c>
      <c r="J173" s="10" t="s">
        <v>33</v>
      </c>
      <c r="K173" s="3"/>
      <c r="L173" s="11"/>
      <c r="M173" s="45"/>
      <c r="N173" s="3"/>
      <c r="O173" s="11"/>
      <c r="P173" s="3"/>
      <c r="Q173" s="3"/>
      <c r="R173" s="11" t="s">
        <v>198</v>
      </c>
      <c r="S173" s="11"/>
      <c r="T173" s="12" t="s">
        <v>20</v>
      </c>
      <c r="U173" s="12"/>
      <c r="V173" s="12"/>
      <c r="W173" s="51" t="s">
        <v>36</v>
      </c>
      <c r="X173" s="51" t="s">
        <v>56</v>
      </c>
      <c r="Y173" s="13" t="s">
        <v>69</v>
      </c>
      <c r="Z173" s="400"/>
      <c r="AA173" s="10" t="s">
        <v>552</v>
      </c>
      <c r="AB173" s="110" t="s">
        <v>37</v>
      </c>
      <c r="AC173" s="59"/>
      <c r="AD173" s="59"/>
      <c r="AE173" s="7"/>
      <c r="AF173" s="7"/>
      <c r="AG173" s="7">
        <f t="shared" si="187"/>
        <v>0</v>
      </c>
      <c r="AH173" s="7"/>
      <c r="AI173" s="7">
        <f t="shared" si="188"/>
        <v>0</v>
      </c>
      <c r="AJ173" s="7"/>
      <c r="AK173" s="59">
        <v>0</v>
      </c>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c r="BH173" s="59"/>
      <c r="BI173" s="59"/>
      <c r="BJ173" s="59"/>
      <c r="BK173" s="59"/>
      <c r="BL173" s="59"/>
      <c r="BM173" s="59"/>
      <c r="BN173" s="59"/>
      <c r="BO173" s="59"/>
      <c r="BP173" s="59"/>
      <c r="BQ173" s="59"/>
      <c r="BR173" s="59"/>
      <c r="BS173" s="59"/>
      <c r="BT173" s="59"/>
      <c r="BU173" s="59"/>
      <c r="BV173" s="59"/>
      <c r="BW173" s="59"/>
      <c r="BX173" s="59"/>
      <c r="BY173" s="59"/>
      <c r="BZ173" s="59"/>
      <c r="CA173" s="59"/>
      <c r="CB173" s="59"/>
      <c r="CC173" s="59"/>
      <c r="CD173" s="59"/>
      <c r="CE173" s="59">
        <v>0</v>
      </c>
      <c r="CF173" s="27">
        <v>1500000</v>
      </c>
      <c r="CG173" s="27"/>
      <c r="CH173" s="27"/>
      <c r="CI173" s="27"/>
      <c r="CJ173" s="7"/>
      <c r="CK173" s="27"/>
      <c r="CL173" s="7"/>
      <c r="CM173" s="27"/>
      <c r="CN173" s="27"/>
      <c r="CO173" s="7"/>
      <c r="CP173" s="7"/>
      <c r="CQ173" s="7"/>
      <c r="CR173" s="27"/>
      <c r="CS173" s="27"/>
      <c r="CT173" s="7"/>
      <c r="CU173" s="27"/>
      <c r="CV173" s="27"/>
      <c r="CW173" s="7"/>
      <c r="CX173" s="27"/>
      <c r="CY173" s="27"/>
      <c r="CZ173" s="7"/>
      <c r="DA173" s="27"/>
      <c r="DB173" s="7"/>
      <c r="DC173" s="27"/>
      <c r="DD173" s="7"/>
      <c r="DE173" s="27"/>
      <c r="DF173" s="7"/>
      <c r="DG173" s="27"/>
      <c r="DH173" s="7"/>
      <c r="DI173" s="27"/>
      <c r="DJ173" s="7"/>
      <c r="DK173" s="27"/>
      <c r="DL173" s="7"/>
      <c r="DM173" s="27"/>
      <c r="DN173" s="14"/>
      <c r="DO173" s="14"/>
      <c r="DP173" s="7"/>
      <c r="DQ173" s="7"/>
      <c r="DR173" s="7"/>
      <c r="DS173" s="15"/>
      <c r="DT173" s="15"/>
      <c r="DU173" s="7"/>
      <c r="DV173" s="7"/>
      <c r="DW173" s="27">
        <v>1500000</v>
      </c>
      <c r="DX173" s="27"/>
      <c r="DY173" s="109"/>
    </row>
    <row r="174" spans="1:129" s="1" customFormat="1" ht="15" hidden="1" customHeight="1">
      <c r="A174" s="61" t="s">
        <v>9</v>
      </c>
      <c r="B174" s="24"/>
      <c r="C174" s="61"/>
      <c r="D174" s="24"/>
      <c r="E174" s="3">
        <v>620005</v>
      </c>
      <c r="F174" s="406"/>
      <c r="G174" s="406"/>
      <c r="H174" s="406"/>
      <c r="I174" s="9" t="s">
        <v>42</v>
      </c>
      <c r="J174" s="10" t="s">
        <v>33</v>
      </c>
      <c r="K174" s="3"/>
      <c r="L174" s="11"/>
      <c r="M174" s="45"/>
      <c r="N174" s="3"/>
      <c r="O174" s="11"/>
      <c r="P174" s="3"/>
      <c r="Q174" s="3"/>
      <c r="R174" s="11" t="s">
        <v>198</v>
      </c>
      <c r="S174" s="11"/>
      <c r="T174" s="12" t="s">
        <v>20</v>
      </c>
      <c r="U174" s="12"/>
      <c r="V174" s="12"/>
      <c r="W174" s="51" t="s">
        <v>36</v>
      </c>
      <c r="X174" s="51" t="s">
        <v>56</v>
      </c>
      <c r="Y174" s="13" t="s">
        <v>69</v>
      </c>
      <c r="Z174" s="400"/>
      <c r="AA174" s="10" t="s">
        <v>553</v>
      </c>
      <c r="AB174" s="110" t="s">
        <v>37</v>
      </c>
      <c r="AC174" s="59"/>
      <c r="AD174" s="59"/>
      <c r="AE174" s="7"/>
      <c r="AF174" s="7"/>
      <c r="AG174" s="7">
        <f t="shared" si="187"/>
        <v>0</v>
      </c>
      <c r="AH174" s="7"/>
      <c r="AI174" s="7">
        <f t="shared" si="188"/>
        <v>0</v>
      </c>
      <c r="AJ174" s="7"/>
      <c r="AK174" s="59">
        <v>0</v>
      </c>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A174" s="59"/>
      <c r="CB174" s="59"/>
      <c r="CC174" s="59"/>
      <c r="CD174" s="59"/>
      <c r="CE174" s="59">
        <v>0</v>
      </c>
      <c r="CF174" s="27">
        <v>1500000</v>
      </c>
      <c r="CG174" s="27"/>
      <c r="CH174" s="27"/>
      <c r="CI174" s="27"/>
      <c r="CJ174" s="7"/>
      <c r="CK174" s="27"/>
      <c r="CL174" s="7"/>
      <c r="CM174" s="27"/>
      <c r="CN174" s="27"/>
      <c r="CO174" s="7"/>
      <c r="CP174" s="7"/>
      <c r="CQ174" s="7"/>
      <c r="CR174" s="27"/>
      <c r="CS174" s="27"/>
      <c r="CT174" s="7"/>
      <c r="CU174" s="27"/>
      <c r="CV174" s="27"/>
      <c r="CW174" s="7"/>
      <c r="CX174" s="27"/>
      <c r="CY174" s="27"/>
      <c r="CZ174" s="7"/>
      <c r="DA174" s="27"/>
      <c r="DB174" s="7"/>
      <c r="DC174" s="27"/>
      <c r="DD174" s="7"/>
      <c r="DE174" s="27"/>
      <c r="DF174" s="7"/>
      <c r="DG174" s="27"/>
      <c r="DH174" s="7"/>
      <c r="DI174" s="27"/>
      <c r="DJ174" s="7"/>
      <c r="DK174" s="27"/>
      <c r="DL174" s="7"/>
      <c r="DM174" s="27"/>
      <c r="DN174" s="14"/>
      <c r="DO174" s="14"/>
      <c r="DP174" s="7"/>
      <c r="DQ174" s="7"/>
      <c r="DR174" s="7"/>
      <c r="DS174" s="15"/>
      <c r="DT174" s="15"/>
      <c r="DU174" s="7"/>
      <c r="DV174" s="7"/>
      <c r="DW174" s="27">
        <v>1500000</v>
      </c>
      <c r="DX174" s="27"/>
      <c r="DY174" s="109"/>
    </row>
    <row r="175" spans="1:129" s="1" customFormat="1" ht="15" hidden="1" customHeight="1">
      <c r="A175" s="61" t="s">
        <v>9</v>
      </c>
      <c r="B175" s="24"/>
      <c r="C175" s="61"/>
      <c r="D175" s="24"/>
      <c r="E175" s="3">
        <v>620005</v>
      </c>
      <c r="F175" s="406"/>
      <c r="G175" s="406"/>
      <c r="H175" s="406"/>
      <c r="I175" s="9" t="s">
        <v>42</v>
      </c>
      <c r="J175" s="10" t="s">
        <v>33</v>
      </c>
      <c r="K175" s="3"/>
      <c r="L175" s="11"/>
      <c r="M175" s="45"/>
      <c r="N175" s="3"/>
      <c r="O175" s="11"/>
      <c r="P175" s="3"/>
      <c r="Q175" s="3"/>
      <c r="R175" s="11" t="s">
        <v>198</v>
      </c>
      <c r="S175" s="11"/>
      <c r="T175" s="12" t="s">
        <v>20</v>
      </c>
      <c r="U175" s="12"/>
      <c r="V175" s="12"/>
      <c r="W175" s="51" t="s">
        <v>36</v>
      </c>
      <c r="X175" s="51" t="s">
        <v>56</v>
      </c>
      <c r="Y175" s="13" t="s">
        <v>69</v>
      </c>
      <c r="Z175" s="400"/>
      <c r="AA175" s="10" t="s">
        <v>554</v>
      </c>
      <c r="AB175" s="110" t="s">
        <v>37</v>
      </c>
      <c r="AC175" s="59"/>
      <c r="AD175" s="59"/>
      <c r="AE175" s="7"/>
      <c r="AF175" s="7"/>
      <c r="AG175" s="7">
        <f t="shared" si="187"/>
        <v>0</v>
      </c>
      <c r="AH175" s="7"/>
      <c r="AI175" s="7">
        <f t="shared" si="188"/>
        <v>0</v>
      </c>
      <c r="AJ175" s="7"/>
      <c r="AK175" s="59">
        <v>0</v>
      </c>
      <c r="AL175" s="59"/>
      <c r="AM175" s="59"/>
      <c r="AN175" s="59"/>
      <c r="AO175" s="59"/>
      <c r="AP175" s="59"/>
      <c r="AQ175" s="59"/>
      <c r="AR175" s="59"/>
      <c r="AS175" s="59"/>
      <c r="AT175" s="59"/>
      <c r="AU175" s="59"/>
      <c r="AV175" s="59"/>
      <c r="AW175" s="59"/>
      <c r="AX175" s="59"/>
      <c r="AY175" s="59"/>
      <c r="AZ175" s="59"/>
      <c r="BA175" s="59"/>
      <c r="BB175" s="59"/>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c r="CA175" s="59"/>
      <c r="CB175" s="59"/>
      <c r="CC175" s="59"/>
      <c r="CD175" s="59"/>
      <c r="CE175" s="59">
        <v>0</v>
      </c>
      <c r="CF175" s="27">
        <v>1500000</v>
      </c>
      <c r="CG175" s="27"/>
      <c r="CH175" s="27"/>
      <c r="CI175" s="27"/>
      <c r="CJ175" s="7"/>
      <c r="CK175" s="27"/>
      <c r="CL175" s="7"/>
      <c r="CM175" s="27"/>
      <c r="CN175" s="27"/>
      <c r="CO175" s="7"/>
      <c r="CP175" s="7"/>
      <c r="CQ175" s="7"/>
      <c r="CR175" s="27"/>
      <c r="CS175" s="27"/>
      <c r="CT175" s="7"/>
      <c r="CU175" s="27"/>
      <c r="CV175" s="27"/>
      <c r="CW175" s="7"/>
      <c r="CX175" s="27"/>
      <c r="CY175" s="27"/>
      <c r="CZ175" s="7"/>
      <c r="DA175" s="27"/>
      <c r="DB175" s="7"/>
      <c r="DC175" s="27"/>
      <c r="DD175" s="7"/>
      <c r="DE175" s="27"/>
      <c r="DF175" s="7"/>
      <c r="DG175" s="27"/>
      <c r="DH175" s="7"/>
      <c r="DI175" s="27"/>
      <c r="DJ175" s="7"/>
      <c r="DK175" s="27"/>
      <c r="DL175" s="7"/>
      <c r="DM175" s="27"/>
      <c r="DN175" s="14"/>
      <c r="DO175" s="14"/>
      <c r="DP175" s="7"/>
      <c r="DQ175" s="7"/>
      <c r="DR175" s="7"/>
      <c r="DS175" s="15"/>
      <c r="DT175" s="15"/>
      <c r="DU175" s="7"/>
      <c r="DV175" s="7"/>
      <c r="DW175" s="27">
        <v>1500000</v>
      </c>
      <c r="DX175" s="27"/>
      <c r="DY175" s="109"/>
    </row>
    <row r="176" spans="1:129" s="1" customFormat="1" ht="15" hidden="1" customHeight="1">
      <c r="A176" s="61" t="s">
        <v>9</v>
      </c>
      <c r="B176" s="24"/>
      <c r="C176" s="61"/>
      <c r="D176" s="24"/>
      <c r="E176" s="3">
        <v>620005</v>
      </c>
      <c r="F176" s="406"/>
      <c r="G176" s="406"/>
      <c r="H176" s="406"/>
      <c r="I176" s="9" t="s">
        <v>42</v>
      </c>
      <c r="J176" s="10" t="s">
        <v>33</v>
      </c>
      <c r="K176" s="3"/>
      <c r="L176" s="11"/>
      <c r="M176" s="45"/>
      <c r="N176" s="3"/>
      <c r="O176" s="11"/>
      <c r="P176" s="3"/>
      <c r="Q176" s="3"/>
      <c r="R176" s="11" t="s">
        <v>198</v>
      </c>
      <c r="S176" s="11"/>
      <c r="T176" s="12" t="s">
        <v>20</v>
      </c>
      <c r="U176" s="12"/>
      <c r="V176" s="12"/>
      <c r="W176" s="51" t="s">
        <v>36</v>
      </c>
      <c r="X176" s="51" t="s">
        <v>56</v>
      </c>
      <c r="Y176" s="13" t="s">
        <v>69</v>
      </c>
      <c r="Z176" s="400"/>
      <c r="AA176" s="10" t="s">
        <v>555</v>
      </c>
      <c r="AB176" s="110" t="s">
        <v>37</v>
      </c>
      <c r="AC176" s="59"/>
      <c r="AD176" s="59"/>
      <c r="AE176" s="7"/>
      <c r="AF176" s="7"/>
      <c r="AG176" s="7">
        <f t="shared" si="187"/>
        <v>0</v>
      </c>
      <c r="AH176" s="7"/>
      <c r="AI176" s="7">
        <f t="shared" si="188"/>
        <v>0</v>
      </c>
      <c r="AJ176" s="7"/>
      <c r="AK176" s="59">
        <v>0</v>
      </c>
      <c r="AL176" s="59"/>
      <c r="AM176" s="59"/>
      <c r="AN176" s="59"/>
      <c r="AO176" s="59"/>
      <c r="AP176" s="59"/>
      <c r="AQ176" s="59"/>
      <c r="AR176" s="59"/>
      <c r="AS176" s="59"/>
      <c r="AT176" s="59"/>
      <c r="AU176" s="59"/>
      <c r="AV176" s="59"/>
      <c r="AW176" s="59"/>
      <c r="AX176" s="59"/>
      <c r="AY176" s="59"/>
      <c r="AZ176" s="59"/>
      <c r="BA176" s="59"/>
      <c r="BB176" s="59"/>
      <c r="BC176" s="59"/>
      <c r="BD176" s="59"/>
      <c r="BE176" s="59"/>
      <c r="BF176" s="59"/>
      <c r="BG176" s="59"/>
      <c r="BH176" s="59"/>
      <c r="BI176" s="59"/>
      <c r="BJ176" s="59"/>
      <c r="BK176" s="59"/>
      <c r="BL176" s="59"/>
      <c r="BM176" s="59"/>
      <c r="BN176" s="59"/>
      <c r="BO176" s="59"/>
      <c r="BP176" s="59"/>
      <c r="BQ176" s="59"/>
      <c r="BR176" s="59"/>
      <c r="BS176" s="59"/>
      <c r="BT176" s="59"/>
      <c r="BU176" s="59"/>
      <c r="BV176" s="59"/>
      <c r="BW176" s="59"/>
      <c r="BX176" s="59"/>
      <c r="BY176" s="59"/>
      <c r="BZ176" s="59"/>
      <c r="CA176" s="59"/>
      <c r="CB176" s="59"/>
      <c r="CC176" s="59"/>
      <c r="CD176" s="59"/>
      <c r="CE176" s="59">
        <v>0</v>
      </c>
      <c r="CF176" s="27">
        <v>1500000</v>
      </c>
      <c r="CG176" s="27"/>
      <c r="CH176" s="27"/>
      <c r="CI176" s="27"/>
      <c r="CJ176" s="7"/>
      <c r="CK176" s="27"/>
      <c r="CL176" s="7"/>
      <c r="CM176" s="27"/>
      <c r="CN176" s="27"/>
      <c r="CO176" s="7"/>
      <c r="CP176" s="7"/>
      <c r="CQ176" s="7"/>
      <c r="CR176" s="27"/>
      <c r="CS176" s="27"/>
      <c r="CT176" s="7"/>
      <c r="CU176" s="27"/>
      <c r="CV176" s="27"/>
      <c r="CW176" s="7"/>
      <c r="CX176" s="27"/>
      <c r="CY176" s="27"/>
      <c r="CZ176" s="7"/>
      <c r="DA176" s="27"/>
      <c r="DB176" s="7"/>
      <c r="DC176" s="27"/>
      <c r="DD176" s="7"/>
      <c r="DE176" s="27"/>
      <c r="DF176" s="7"/>
      <c r="DG176" s="27"/>
      <c r="DH176" s="7"/>
      <c r="DI176" s="27"/>
      <c r="DJ176" s="7"/>
      <c r="DK176" s="27"/>
      <c r="DL176" s="7"/>
      <c r="DM176" s="27"/>
      <c r="DN176" s="14"/>
      <c r="DO176" s="14"/>
      <c r="DP176" s="7"/>
      <c r="DQ176" s="7"/>
      <c r="DR176" s="7"/>
      <c r="DS176" s="15"/>
      <c r="DT176" s="15"/>
      <c r="DU176" s="7"/>
      <c r="DV176" s="7"/>
      <c r="DW176" s="27">
        <v>1500000</v>
      </c>
      <c r="DX176" s="27"/>
      <c r="DY176" s="109"/>
    </row>
    <row r="177" spans="1:129" s="10" customFormat="1" hidden="1">
      <c r="A177" s="68"/>
      <c r="B177" s="68"/>
      <c r="C177" s="68"/>
      <c r="D177" s="68"/>
      <c r="E177" s="69"/>
      <c r="F177" s="69"/>
      <c r="G177" s="69"/>
      <c r="H177" s="69"/>
      <c r="I177" s="68"/>
      <c r="J177" s="68"/>
      <c r="K177" s="69"/>
      <c r="L177" s="69"/>
      <c r="M177" s="69"/>
      <c r="N177" s="69"/>
      <c r="O177" s="69"/>
      <c r="P177" s="69"/>
      <c r="Q177" s="69"/>
      <c r="R177" s="69"/>
      <c r="S177" s="69"/>
      <c r="T177" s="70"/>
      <c r="U177" s="70"/>
      <c r="V177" s="70"/>
      <c r="W177" s="68"/>
      <c r="X177" s="68"/>
      <c r="Y177" s="50"/>
      <c r="Z177" s="50"/>
      <c r="AA177" s="71"/>
      <c r="AB177" s="70"/>
      <c r="AC177" s="72"/>
      <c r="AD177" s="72"/>
      <c r="AE177" s="73"/>
      <c r="AF177" s="73"/>
      <c r="AG177" s="73"/>
      <c r="AH177" s="73"/>
      <c r="AI177" s="73"/>
      <c r="AJ177" s="252"/>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2"/>
      <c r="CF177" s="73"/>
      <c r="CG177" s="73"/>
      <c r="CH177" s="73"/>
      <c r="CI177" s="72"/>
      <c r="CJ177" s="72"/>
      <c r="CK177" s="72"/>
      <c r="CL177" s="72"/>
      <c r="CM177" s="72"/>
      <c r="CN177" s="72"/>
      <c r="CO177" s="73"/>
      <c r="CP177" s="73"/>
      <c r="CQ177" s="73"/>
      <c r="CR177" s="72"/>
      <c r="CS177" s="72"/>
      <c r="CT177" s="72"/>
      <c r="CU177" s="72"/>
      <c r="CV177" s="72"/>
      <c r="CW177" s="72"/>
      <c r="CX177" s="72"/>
      <c r="CY177" s="72"/>
      <c r="CZ177" s="72"/>
      <c r="DA177" s="72"/>
      <c r="DB177" s="72"/>
      <c r="DC177" s="72"/>
      <c r="DD177" s="72"/>
      <c r="DE177" s="72"/>
      <c r="DF177" s="72"/>
      <c r="DG177" s="72"/>
      <c r="DH177" s="72"/>
      <c r="DI177" s="72"/>
      <c r="DJ177" s="72"/>
      <c r="DK177" s="72"/>
      <c r="DL177" s="72"/>
      <c r="DM177" s="72"/>
      <c r="DN177" s="75"/>
      <c r="DO177" s="76"/>
      <c r="DP177" s="77"/>
      <c r="DQ177" s="72"/>
      <c r="DR177" s="73"/>
      <c r="DS177" s="72"/>
      <c r="DT177" s="73"/>
      <c r="DU177" s="73"/>
      <c r="DV177" s="73"/>
      <c r="DW177" s="73"/>
      <c r="DX177" s="73"/>
      <c r="DY177" s="329"/>
    </row>
    <row r="178" spans="1:129" s="10" customFormat="1" hidden="1">
      <c r="A178" s="68"/>
      <c r="B178" s="68"/>
      <c r="C178" s="68"/>
      <c r="D178" s="68"/>
      <c r="E178" s="69"/>
      <c r="F178" s="69"/>
      <c r="G178" s="69"/>
      <c r="H178" s="69"/>
      <c r="I178" s="68"/>
      <c r="J178" s="68"/>
      <c r="K178" s="69"/>
      <c r="L178" s="69"/>
      <c r="M178" s="69"/>
      <c r="N178" s="69"/>
      <c r="O178" s="69"/>
      <c r="P178" s="69"/>
      <c r="Q178" s="69"/>
      <c r="R178" s="69"/>
      <c r="S178" s="69"/>
      <c r="T178" s="70"/>
      <c r="U178" s="70"/>
      <c r="V178" s="70"/>
      <c r="W178" s="68"/>
      <c r="X178" s="68"/>
      <c r="Y178" s="50"/>
      <c r="Z178" s="50"/>
      <c r="AA178" s="71"/>
      <c r="AB178" s="70"/>
      <c r="AC178" s="72"/>
      <c r="AD178" s="72"/>
      <c r="AE178" s="73"/>
      <c r="AF178" s="73"/>
      <c r="AG178" s="73"/>
      <c r="AH178" s="73"/>
      <c r="AI178" s="73"/>
      <c r="AJ178" s="252"/>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2"/>
      <c r="CF178" s="73"/>
      <c r="CG178" s="73"/>
      <c r="CH178" s="73"/>
      <c r="CI178" s="72"/>
      <c r="CJ178" s="72"/>
      <c r="CK178" s="72"/>
      <c r="CL178" s="72"/>
      <c r="CM178" s="72"/>
      <c r="CN178" s="72"/>
      <c r="CO178" s="73"/>
      <c r="CP178" s="73"/>
      <c r="CQ178" s="73"/>
      <c r="CR178" s="72"/>
      <c r="CS178" s="72"/>
      <c r="CT178" s="72"/>
      <c r="CU178" s="72"/>
      <c r="CV178" s="72"/>
      <c r="CW178" s="72"/>
      <c r="CX178" s="72"/>
      <c r="CY178" s="72"/>
      <c r="CZ178" s="72"/>
      <c r="DA178" s="72"/>
      <c r="DB178" s="72"/>
      <c r="DC178" s="72"/>
      <c r="DD178" s="72"/>
      <c r="DE178" s="72"/>
      <c r="DF178" s="72"/>
      <c r="DG178" s="72"/>
      <c r="DH178" s="72"/>
      <c r="DI178" s="72"/>
      <c r="DJ178" s="72"/>
      <c r="DK178" s="72"/>
      <c r="DL178" s="72"/>
      <c r="DM178" s="72"/>
      <c r="DN178" s="75"/>
      <c r="DO178" s="76"/>
      <c r="DP178" s="77"/>
      <c r="DQ178" s="72"/>
      <c r="DR178" s="73"/>
      <c r="DS178" s="72"/>
      <c r="DT178" s="73"/>
      <c r="DU178" s="73"/>
      <c r="DV178" s="73"/>
      <c r="DW178" s="73"/>
      <c r="DX178" s="73"/>
      <c r="DY178" s="329"/>
    </row>
    <row r="179" spans="1:129" s="10" customFormat="1" hidden="1">
      <c r="A179" s="68"/>
      <c r="B179" s="68"/>
      <c r="C179" s="68"/>
      <c r="D179" s="68"/>
      <c r="E179" s="69"/>
      <c r="F179" s="69"/>
      <c r="G179" s="69"/>
      <c r="H179" s="69"/>
      <c r="I179" s="68"/>
      <c r="J179" s="68"/>
      <c r="K179" s="69"/>
      <c r="L179" s="69"/>
      <c r="M179" s="69"/>
      <c r="N179" s="69"/>
      <c r="O179" s="69"/>
      <c r="P179" s="69"/>
      <c r="Q179" s="69"/>
      <c r="R179" s="69"/>
      <c r="S179" s="69"/>
      <c r="T179" s="70"/>
      <c r="U179" s="70"/>
      <c r="V179" s="70"/>
      <c r="W179" s="68"/>
      <c r="X179" s="68"/>
      <c r="Y179" s="50"/>
      <c r="Z179" s="50"/>
      <c r="AA179" s="71"/>
      <c r="AB179" s="70"/>
      <c r="AC179" s="72"/>
      <c r="AD179" s="72"/>
      <c r="AE179" s="73"/>
      <c r="AF179" s="73"/>
      <c r="AG179" s="73"/>
      <c r="AH179" s="73"/>
      <c r="AI179" s="73"/>
      <c r="AJ179" s="252"/>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2"/>
      <c r="CF179" s="73"/>
      <c r="CG179" s="73"/>
      <c r="CH179" s="73"/>
      <c r="CI179" s="72"/>
      <c r="CJ179" s="72"/>
      <c r="CK179" s="72"/>
      <c r="CL179" s="72"/>
      <c r="CM179" s="72"/>
      <c r="CN179" s="72"/>
      <c r="CO179" s="73"/>
      <c r="CP179" s="73"/>
      <c r="CQ179" s="73"/>
      <c r="CR179" s="72"/>
      <c r="CS179" s="72"/>
      <c r="CT179" s="72"/>
      <c r="CU179" s="72"/>
      <c r="CV179" s="72"/>
      <c r="CW179" s="72"/>
      <c r="CX179" s="72"/>
      <c r="CY179" s="72"/>
      <c r="CZ179" s="72"/>
      <c r="DA179" s="72"/>
      <c r="DB179" s="72"/>
      <c r="DC179" s="72"/>
      <c r="DD179" s="72"/>
      <c r="DE179" s="72"/>
      <c r="DF179" s="72"/>
      <c r="DG179" s="72"/>
      <c r="DH179" s="72"/>
      <c r="DI179" s="72"/>
      <c r="DJ179" s="72"/>
      <c r="DK179" s="72"/>
      <c r="DL179" s="72"/>
      <c r="DM179" s="72"/>
      <c r="DN179" s="75"/>
      <c r="DO179" s="76"/>
      <c r="DP179" s="77"/>
      <c r="DQ179" s="72"/>
      <c r="DR179" s="73"/>
      <c r="DS179" s="72"/>
      <c r="DT179" s="73"/>
      <c r="DU179" s="73"/>
      <c r="DV179" s="73"/>
      <c r="DW179" s="73"/>
      <c r="DX179" s="73"/>
      <c r="DY179" s="329"/>
    </row>
    <row r="180" spans="1:129" s="10" customFormat="1" hidden="1">
      <c r="A180" s="68"/>
      <c r="B180" s="68"/>
      <c r="C180" s="68"/>
      <c r="D180" s="68"/>
      <c r="E180" s="69"/>
      <c r="F180" s="69"/>
      <c r="G180" s="69"/>
      <c r="H180" s="69"/>
      <c r="I180" s="68"/>
      <c r="J180" s="68"/>
      <c r="K180" s="69"/>
      <c r="L180" s="69"/>
      <c r="M180" s="69"/>
      <c r="N180" s="69"/>
      <c r="O180" s="69"/>
      <c r="P180" s="69"/>
      <c r="Q180" s="69"/>
      <c r="R180" s="69"/>
      <c r="S180" s="69"/>
      <c r="T180" s="70"/>
      <c r="U180" s="70"/>
      <c r="V180" s="70"/>
      <c r="W180" s="68"/>
      <c r="X180" s="68"/>
      <c r="Y180" s="50"/>
      <c r="Z180" s="50"/>
      <c r="AA180" s="71"/>
      <c r="AB180" s="70"/>
      <c r="AC180" s="72"/>
      <c r="AD180" s="72"/>
      <c r="AE180" s="73"/>
      <c r="AF180" s="73"/>
      <c r="AG180" s="73"/>
      <c r="AH180" s="73"/>
      <c r="AI180" s="73"/>
      <c r="AJ180" s="252"/>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2"/>
      <c r="CF180" s="73"/>
      <c r="CG180" s="73"/>
      <c r="CH180" s="73"/>
      <c r="CI180" s="72"/>
      <c r="CJ180" s="72"/>
      <c r="CK180" s="72"/>
      <c r="CL180" s="72"/>
      <c r="CM180" s="72"/>
      <c r="CN180" s="72"/>
      <c r="CO180" s="73"/>
      <c r="CP180" s="73"/>
      <c r="CQ180" s="73"/>
      <c r="CR180" s="72"/>
      <c r="CS180" s="72"/>
      <c r="CT180" s="72"/>
      <c r="CU180" s="72"/>
      <c r="CV180" s="72"/>
      <c r="CW180" s="72"/>
      <c r="CX180" s="72"/>
      <c r="CY180" s="72"/>
      <c r="CZ180" s="72"/>
      <c r="DA180" s="72"/>
      <c r="DB180" s="72"/>
      <c r="DC180" s="72"/>
      <c r="DD180" s="72"/>
      <c r="DE180" s="72"/>
      <c r="DF180" s="72"/>
      <c r="DG180" s="72"/>
      <c r="DH180" s="72"/>
      <c r="DI180" s="72"/>
      <c r="DJ180" s="72"/>
      <c r="DK180" s="72"/>
      <c r="DL180" s="72"/>
      <c r="DM180" s="72"/>
      <c r="DN180" s="75"/>
      <c r="DO180" s="76"/>
      <c r="DP180" s="77"/>
      <c r="DQ180" s="72"/>
      <c r="DR180" s="73"/>
      <c r="DS180" s="72"/>
      <c r="DT180" s="73"/>
      <c r="DU180" s="73"/>
      <c r="DV180" s="73"/>
      <c r="DW180" s="73"/>
      <c r="DX180" s="73"/>
      <c r="DY180" s="329"/>
    </row>
    <row r="181" spans="1:129" s="10" customFormat="1" hidden="1">
      <c r="A181" s="68"/>
      <c r="B181" s="68"/>
      <c r="C181" s="68"/>
      <c r="D181" s="68"/>
      <c r="E181" s="69"/>
      <c r="F181" s="69"/>
      <c r="G181" s="69"/>
      <c r="H181" s="69"/>
      <c r="I181" s="68"/>
      <c r="J181" s="68"/>
      <c r="K181" s="69"/>
      <c r="L181" s="69"/>
      <c r="M181" s="69"/>
      <c r="N181" s="69"/>
      <c r="O181" s="69"/>
      <c r="P181" s="69"/>
      <c r="Q181" s="69"/>
      <c r="R181" s="69"/>
      <c r="S181" s="69"/>
      <c r="T181" s="70"/>
      <c r="U181" s="70"/>
      <c r="V181" s="70"/>
      <c r="W181" s="68"/>
      <c r="X181" s="68"/>
      <c r="Y181" s="50"/>
      <c r="Z181" s="50"/>
      <c r="AA181" s="71"/>
      <c r="AB181" s="70"/>
      <c r="AC181" s="72"/>
      <c r="AD181" s="72"/>
      <c r="AE181" s="73"/>
      <c r="AF181" s="73"/>
      <c r="AG181" s="73"/>
      <c r="AH181" s="73"/>
      <c r="AI181" s="73"/>
      <c r="AJ181" s="252"/>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2"/>
      <c r="CF181" s="73"/>
      <c r="CG181" s="73"/>
      <c r="CH181" s="73"/>
      <c r="CI181" s="72"/>
      <c r="CJ181" s="72"/>
      <c r="CK181" s="72"/>
      <c r="CL181" s="72"/>
      <c r="CM181" s="72"/>
      <c r="CN181" s="72"/>
      <c r="CO181" s="73"/>
      <c r="CP181" s="73"/>
      <c r="CQ181" s="73"/>
      <c r="CR181" s="72"/>
      <c r="CS181" s="72"/>
      <c r="CT181" s="72"/>
      <c r="CU181" s="72"/>
      <c r="CV181" s="72"/>
      <c r="CW181" s="72"/>
      <c r="CX181" s="72"/>
      <c r="CY181" s="72"/>
      <c r="CZ181" s="72"/>
      <c r="DA181" s="72"/>
      <c r="DB181" s="72"/>
      <c r="DC181" s="72"/>
      <c r="DD181" s="72"/>
      <c r="DE181" s="72"/>
      <c r="DF181" s="72"/>
      <c r="DG181" s="72"/>
      <c r="DH181" s="72"/>
      <c r="DI181" s="72"/>
      <c r="DJ181" s="72"/>
      <c r="DK181" s="72"/>
      <c r="DL181" s="72"/>
      <c r="DM181" s="72"/>
      <c r="DN181" s="75"/>
      <c r="DO181" s="76"/>
      <c r="DP181" s="77"/>
      <c r="DQ181" s="72"/>
      <c r="DR181" s="73"/>
      <c r="DS181" s="72"/>
      <c r="DT181" s="73"/>
      <c r="DU181" s="73"/>
      <c r="DV181" s="73"/>
      <c r="DW181" s="73"/>
      <c r="DX181" s="73"/>
      <c r="DY181" s="329"/>
    </row>
    <row r="182" spans="1:129" s="10" customFormat="1" hidden="1">
      <c r="A182" s="68"/>
      <c r="B182" s="68"/>
      <c r="C182" s="68"/>
      <c r="D182" s="68"/>
      <c r="E182" s="69"/>
      <c r="F182" s="69"/>
      <c r="G182" s="69"/>
      <c r="H182" s="69"/>
      <c r="I182" s="68"/>
      <c r="J182" s="68"/>
      <c r="K182" s="69"/>
      <c r="L182" s="69"/>
      <c r="M182" s="69"/>
      <c r="N182" s="69"/>
      <c r="O182" s="69"/>
      <c r="P182" s="69"/>
      <c r="Q182" s="69"/>
      <c r="R182" s="69"/>
      <c r="S182" s="69"/>
      <c r="T182" s="70"/>
      <c r="U182" s="70"/>
      <c r="V182" s="70"/>
      <c r="W182" s="68"/>
      <c r="X182" s="68"/>
      <c r="Y182" s="50"/>
      <c r="Z182" s="50"/>
      <c r="AA182" s="71"/>
      <c r="AB182" s="70"/>
      <c r="AC182" s="72"/>
      <c r="AD182" s="72"/>
      <c r="AE182" s="73"/>
      <c r="AF182" s="73"/>
      <c r="AG182" s="73"/>
      <c r="AH182" s="73"/>
      <c r="AI182" s="73"/>
      <c r="AJ182" s="252"/>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2"/>
      <c r="CF182" s="73"/>
      <c r="CG182" s="73"/>
      <c r="CH182" s="73"/>
      <c r="CI182" s="72"/>
      <c r="CJ182" s="72"/>
      <c r="CK182" s="72"/>
      <c r="CL182" s="72"/>
      <c r="CM182" s="72"/>
      <c r="CN182" s="72"/>
      <c r="CO182" s="73"/>
      <c r="CP182" s="73"/>
      <c r="CQ182" s="73"/>
      <c r="CR182" s="72"/>
      <c r="CS182" s="72"/>
      <c r="CT182" s="72"/>
      <c r="CU182" s="72"/>
      <c r="CV182" s="72"/>
      <c r="CW182" s="72"/>
      <c r="CX182" s="72"/>
      <c r="CY182" s="72"/>
      <c r="CZ182" s="72"/>
      <c r="DA182" s="72"/>
      <c r="DB182" s="72"/>
      <c r="DC182" s="72"/>
      <c r="DD182" s="72"/>
      <c r="DE182" s="72"/>
      <c r="DF182" s="72"/>
      <c r="DG182" s="72"/>
      <c r="DH182" s="72"/>
      <c r="DI182" s="72"/>
      <c r="DJ182" s="72"/>
      <c r="DK182" s="72"/>
      <c r="DL182" s="72"/>
      <c r="DM182" s="72"/>
      <c r="DN182" s="75"/>
      <c r="DO182" s="76"/>
      <c r="DP182" s="77"/>
      <c r="DQ182" s="72"/>
      <c r="DR182" s="73"/>
      <c r="DS182" s="72"/>
      <c r="DT182" s="73"/>
      <c r="DU182" s="73"/>
      <c r="DV182" s="73"/>
      <c r="DW182" s="73"/>
      <c r="DX182" s="73"/>
      <c r="DY182" s="329"/>
    </row>
    <row r="183" spans="1:129" s="10" customFormat="1" hidden="1">
      <c r="A183" s="68"/>
      <c r="B183" s="68"/>
      <c r="C183" s="68"/>
      <c r="D183" s="68"/>
      <c r="E183" s="69"/>
      <c r="F183" s="69"/>
      <c r="G183" s="69"/>
      <c r="H183" s="69"/>
      <c r="I183" s="68"/>
      <c r="J183" s="68"/>
      <c r="K183" s="69"/>
      <c r="L183" s="69"/>
      <c r="M183" s="69"/>
      <c r="N183" s="69"/>
      <c r="O183" s="69"/>
      <c r="P183" s="69"/>
      <c r="Q183" s="69"/>
      <c r="R183" s="69"/>
      <c r="S183" s="69"/>
      <c r="T183" s="70"/>
      <c r="U183" s="70"/>
      <c r="V183" s="70"/>
      <c r="W183" s="68"/>
      <c r="X183" s="68"/>
      <c r="Y183" s="50"/>
      <c r="Z183" s="50"/>
      <c r="AA183" s="71"/>
      <c r="AB183" s="70"/>
      <c r="AC183" s="72"/>
      <c r="AD183" s="72"/>
      <c r="AE183" s="73"/>
      <c r="AF183" s="73"/>
      <c r="AG183" s="73"/>
      <c r="AH183" s="73"/>
      <c r="AI183" s="73"/>
      <c r="AJ183" s="252"/>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2"/>
      <c r="CF183" s="73"/>
      <c r="CG183" s="73"/>
      <c r="CH183" s="73"/>
      <c r="CI183" s="72"/>
      <c r="CJ183" s="72"/>
      <c r="CK183" s="72"/>
      <c r="CL183" s="72"/>
      <c r="CM183" s="72"/>
      <c r="CN183" s="72"/>
      <c r="CO183" s="73"/>
      <c r="CP183" s="73"/>
      <c r="CQ183" s="73"/>
      <c r="CR183" s="72"/>
      <c r="CS183" s="72"/>
      <c r="CT183" s="72"/>
      <c r="CU183" s="72"/>
      <c r="CV183" s="72"/>
      <c r="CW183" s="72"/>
      <c r="CX183" s="72"/>
      <c r="CY183" s="72"/>
      <c r="CZ183" s="72"/>
      <c r="DA183" s="72"/>
      <c r="DB183" s="72"/>
      <c r="DC183" s="72"/>
      <c r="DD183" s="72"/>
      <c r="DE183" s="72"/>
      <c r="DF183" s="72"/>
      <c r="DG183" s="72"/>
      <c r="DH183" s="72"/>
      <c r="DI183" s="72"/>
      <c r="DJ183" s="72"/>
      <c r="DK183" s="72"/>
      <c r="DL183" s="72"/>
      <c r="DM183" s="72"/>
      <c r="DN183" s="75"/>
      <c r="DO183" s="76"/>
      <c r="DP183" s="77"/>
      <c r="DQ183" s="72"/>
      <c r="DR183" s="73"/>
      <c r="DS183" s="72"/>
      <c r="DT183" s="73"/>
      <c r="DU183" s="73"/>
      <c r="DV183" s="73"/>
      <c r="DW183" s="73"/>
      <c r="DX183" s="73"/>
      <c r="DY183" s="329"/>
    </row>
    <row r="184" spans="1:129" s="10" customFormat="1" hidden="1">
      <c r="A184" s="68"/>
      <c r="B184" s="68"/>
      <c r="C184" s="68"/>
      <c r="D184" s="68"/>
      <c r="E184" s="69"/>
      <c r="F184" s="69"/>
      <c r="G184" s="69"/>
      <c r="H184" s="69"/>
      <c r="I184" s="68"/>
      <c r="J184" s="68"/>
      <c r="K184" s="69"/>
      <c r="L184" s="69"/>
      <c r="M184" s="69"/>
      <c r="N184" s="69"/>
      <c r="O184" s="69"/>
      <c r="P184" s="69"/>
      <c r="Q184" s="69"/>
      <c r="R184" s="69"/>
      <c r="S184" s="69"/>
      <c r="T184" s="70"/>
      <c r="U184" s="70"/>
      <c r="V184" s="70"/>
      <c r="W184" s="68"/>
      <c r="X184" s="68"/>
      <c r="Y184" s="50"/>
      <c r="Z184" s="50"/>
      <c r="AA184" s="71"/>
      <c r="AB184" s="70"/>
      <c r="AC184" s="72"/>
      <c r="AD184" s="72"/>
      <c r="AE184" s="73"/>
      <c r="AF184" s="73"/>
      <c r="AG184" s="73"/>
      <c r="AH184" s="73"/>
      <c r="AI184" s="73"/>
      <c r="AJ184" s="252"/>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2"/>
      <c r="CF184" s="73"/>
      <c r="CG184" s="73"/>
      <c r="CH184" s="73"/>
      <c r="CI184" s="72"/>
      <c r="CJ184" s="72"/>
      <c r="CK184" s="72"/>
      <c r="CL184" s="72"/>
      <c r="CM184" s="72"/>
      <c r="CN184" s="72"/>
      <c r="CO184" s="73"/>
      <c r="CP184" s="73"/>
      <c r="CQ184" s="73"/>
      <c r="CR184" s="72"/>
      <c r="CS184" s="72"/>
      <c r="CT184" s="72"/>
      <c r="CU184" s="72"/>
      <c r="CV184" s="72"/>
      <c r="CW184" s="72"/>
      <c r="CX184" s="72"/>
      <c r="CY184" s="72"/>
      <c r="CZ184" s="72"/>
      <c r="DA184" s="72"/>
      <c r="DB184" s="72"/>
      <c r="DC184" s="72"/>
      <c r="DD184" s="72"/>
      <c r="DE184" s="72"/>
      <c r="DF184" s="72"/>
      <c r="DG184" s="72"/>
      <c r="DH184" s="72"/>
      <c r="DI184" s="72"/>
      <c r="DJ184" s="72"/>
      <c r="DK184" s="72"/>
      <c r="DL184" s="72"/>
      <c r="DM184" s="72"/>
      <c r="DN184" s="75"/>
      <c r="DO184" s="76"/>
      <c r="DP184" s="77"/>
      <c r="DQ184" s="72"/>
      <c r="DR184" s="73"/>
      <c r="DS184" s="72"/>
      <c r="DT184" s="73"/>
      <c r="DU184" s="73"/>
      <c r="DV184" s="73"/>
      <c r="DW184" s="73"/>
      <c r="DX184" s="73"/>
      <c r="DY184" s="329"/>
    </row>
    <row r="185" spans="1:129" s="10" customFormat="1" hidden="1">
      <c r="A185" s="68"/>
      <c r="B185" s="68"/>
      <c r="C185" s="68"/>
      <c r="D185" s="68"/>
      <c r="E185" s="69"/>
      <c r="F185" s="69"/>
      <c r="G185" s="69"/>
      <c r="H185" s="69"/>
      <c r="I185" s="68"/>
      <c r="J185" s="68"/>
      <c r="K185" s="69"/>
      <c r="L185" s="69"/>
      <c r="M185" s="69"/>
      <c r="N185" s="69"/>
      <c r="O185" s="69"/>
      <c r="P185" s="69"/>
      <c r="Q185" s="69"/>
      <c r="R185" s="69"/>
      <c r="S185" s="69"/>
      <c r="T185" s="70"/>
      <c r="U185" s="70"/>
      <c r="V185" s="70"/>
      <c r="W185" s="68"/>
      <c r="X185" s="68"/>
      <c r="Y185" s="50"/>
      <c r="Z185" s="50"/>
      <c r="AA185" s="71"/>
      <c r="AB185" s="70"/>
      <c r="AC185" s="72"/>
      <c r="AD185" s="72"/>
      <c r="AE185" s="73"/>
      <c r="AF185" s="73"/>
      <c r="AG185" s="73"/>
      <c r="AH185" s="73"/>
      <c r="AI185" s="73"/>
      <c r="AJ185" s="252"/>
      <c r="AK185" s="73">
        <v>86530409</v>
      </c>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2">
        <v>75960100</v>
      </c>
      <c r="CF185" s="73"/>
      <c r="CG185" s="73"/>
      <c r="CH185" s="73"/>
      <c r="CI185" s="72"/>
      <c r="CJ185" s="72"/>
      <c r="CK185" s="72"/>
      <c r="CL185" s="72"/>
      <c r="CM185" s="72"/>
      <c r="CN185" s="72"/>
      <c r="CO185" s="73"/>
      <c r="CP185" s="73"/>
      <c r="CQ185" s="73"/>
      <c r="CR185" s="72"/>
      <c r="CS185" s="72"/>
      <c r="CT185" s="72"/>
      <c r="CU185" s="72"/>
      <c r="CV185" s="72"/>
      <c r="CW185" s="72"/>
      <c r="CX185" s="72"/>
      <c r="CY185" s="72"/>
      <c r="CZ185" s="72"/>
      <c r="DA185" s="72"/>
      <c r="DB185" s="72"/>
      <c r="DC185" s="72"/>
      <c r="DD185" s="72"/>
      <c r="DE185" s="72"/>
      <c r="DF185" s="72"/>
      <c r="DG185" s="72"/>
      <c r="DH185" s="72"/>
      <c r="DI185" s="72"/>
      <c r="DJ185" s="72"/>
      <c r="DK185" s="72"/>
      <c r="DL185" s="72"/>
      <c r="DM185" s="72"/>
      <c r="DN185" s="75"/>
      <c r="DO185" s="76"/>
      <c r="DP185" s="77"/>
      <c r="DQ185" s="72"/>
      <c r="DR185" s="73"/>
      <c r="DS185" s="72"/>
      <c r="DT185" s="73"/>
      <c r="DU185" s="73"/>
      <c r="DV185" s="73"/>
      <c r="DW185" s="73"/>
      <c r="DX185" s="73"/>
      <c r="DY185" s="329"/>
    </row>
    <row r="186" spans="1:129" s="10" customFormat="1" hidden="1">
      <c r="A186" s="68"/>
      <c r="B186" s="68"/>
      <c r="C186" s="68"/>
      <c r="D186" s="68"/>
      <c r="E186" s="69"/>
      <c r="F186" s="69"/>
      <c r="G186" s="69"/>
      <c r="H186" s="69"/>
      <c r="I186" s="68"/>
      <c r="J186" s="68"/>
      <c r="K186" s="69"/>
      <c r="L186" s="69"/>
      <c r="M186" s="69"/>
      <c r="N186" s="69"/>
      <c r="O186" s="69"/>
      <c r="P186" s="69"/>
      <c r="Q186" s="69"/>
      <c r="R186" s="69"/>
      <c r="S186" s="69"/>
      <c r="T186" s="70"/>
      <c r="U186" s="70"/>
      <c r="V186" s="70"/>
      <c r="W186" s="68"/>
      <c r="X186" s="68"/>
      <c r="Y186" s="50"/>
      <c r="Z186" s="50"/>
      <c r="AA186" s="71"/>
      <c r="AB186" s="70"/>
      <c r="AC186" s="72"/>
      <c r="AD186" s="72"/>
      <c r="AE186" s="73"/>
      <c r="AF186" s="73"/>
      <c r="AG186" s="73"/>
      <c r="AH186" s="73"/>
      <c r="AI186" s="73"/>
      <c r="AJ186" s="252"/>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2"/>
      <c r="CF186" s="73"/>
      <c r="CG186" s="73"/>
      <c r="CH186" s="73"/>
      <c r="CI186" s="72"/>
      <c r="CJ186" s="72"/>
      <c r="CK186" s="72"/>
      <c r="CL186" s="72"/>
      <c r="CM186" s="72"/>
      <c r="CN186" s="72"/>
      <c r="CO186" s="73"/>
      <c r="CP186" s="73"/>
      <c r="CQ186" s="73"/>
      <c r="CR186" s="72"/>
      <c r="CS186" s="72"/>
      <c r="CT186" s="72"/>
      <c r="CU186" s="72"/>
      <c r="CV186" s="72"/>
      <c r="CW186" s="72"/>
      <c r="CX186" s="72"/>
      <c r="CY186" s="72"/>
      <c r="CZ186" s="72"/>
      <c r="DA186" s="72"/>
      <c r="DB186" s="72"/>
      <c r="DC186" s="72"/>
      <c r="DD186" s="72"/>
      <c r="DE186" s="72"/>
      <c r="DF186" s="72"/>
      <c r="DG186" s="72"/>
      <c r="DH186" s="72"/>
      <c r="DI186" s="72"/>
      <c r="DJ186" s="72"/>
      <c r="DK186" s="72"/>
      <c r="DL186" s="72"/>
      <c r="DM186" s="72"/>
      <c r="DN186" s="75"/>
      <c r="DO186" s="76"/>
      <c r="DP186" s="77"/>
      <c r="DQ186" s="72"/>
      <c r="DR186" s="73"/>
      <c r="DS186" s="72"/>
      <c r="DT186" s="73"/>
      <c r="DU186" s="73"/>
      <c r="DV186" s="73"/>
      <c r="DW186" s="73"/>
      <c r="DX186" s="73"/>
      <c r="DY186" s="329"/>
    </row>
    <row r="187" spans="1:129" s="10" customFormat="1" hidden="1">
      <c r="A187" s="68"/>
      <c r="B187" s="68"/>
      <c r="C187" s="68"/>
      <c r="D187" s="68"/>
      <c r="E187" s="69"/>
      <c r="F187" s="69"/>
      <c r="G187" s="69"/>
      <c r="H187" s="69"/>
      <c r="I187" s="68"/>
      <c r="J187" s="68"/>
      <c r="K187" s="69"/>
      <c r="L187" s="69"/>
      <c r="M187" s="69"/>
      <c r="N187" s="69"/>
      <c r="O187" s="69"/>
      <c r="P187" s="69"/>
      <c r="Q187" s="69"/>
      <c r="R187" s="69"/>
      <c r="S187" s="69"/>
      <c r="T187" s="70"/>
      <c r="U187" s="70"/>
      <c r="V187" s="70"/>
      <c r="W187" s="68"/>
      <c r="X187" s="68"/>
      <c r="Y187" s="50"/>
      <c r="Z187" s="50"/>
      <c r="AA187" s="71"/>
      <c r="AB187" s="70"/>
      <c r="AC187" s="72"/>
      <c r="AD187" s="72"/>
      <c r="AE187" s="73"/>
      <c r="AF187" s="73"/>
      <c r="AG187" s="73"/>
      <c r="AH187" s="73"/>
      <c r="AI187" s="73"/>
      <c r="AJ187" s="252"/>
      <c r="AK187" s="73">
        <v>86530409</v>
      </c>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2">
        <v>75960100</v>
      </c>
      <c r="CF187" s="73"/>
      <c r="CG187" s="73"/>
      <c r="CH187" s="73"/>
      <c r="CI187" s="72"/>
      <c r="CJ187" s="72"/>
      <c r="CK187" s="72"/>
      <c r="CL187" s="72"/>
      <c r="CM187" s="72"/>
      <c r="CN187" s="72"/>
      <c r="CO187" s="73"/>
      <c r="CP187" s="73"/>
      <c r="CQ187" s="73"/>
      <c r="CR187" s="72"/>
      <c r="CS187" s="72"/>
      <c r="CT187" s="72"/>
      <c r="CU187" s="72"/>
      <c r="CV187" s="72"/>
      <c r="CW187" s="72"/>
      <c r="CX187" s="72"/>
      <c r="CY187" s="72"/>
      <c r="CZ187" s="72"/>
      <c r="DA187" s="72"/>
      <c r="DB187" s="72"/>
      <c r="DC187" s="72"/>
      <c r="DD187" s="72"/>
      <c r="DE187" s="72"/>
      <c r="DF187" s="72"/>
      <c r="DG187" s="72"/>
      <c r="DH187" s="72"/>
      <c r="DI187" s="72"/>
      <c r="DJ187" s="72"/>
      <c r="DK187" s="72"/>
      <c r="DL187" s="72"/>
      <c r="DM187" s="72"/>
      <c r="DN187" s="75"/>
      <c r="DO187" s="76"/>
      <c r="DP187" s="77"/>
      <c r="DQ187" s="72"/>
      <c r="DR187" s="73"/>
      <c r="DS187" s="72"/>
      <c r="DT187" s="73"/>
      <c r="DU187" s="73"/>
      <c r="DV187" s="73"/>
      <c r="DW187" s="73"/>
      <c r="DX187" s="73"/>
      <c r="DY187" s="329"/>
    </row>
    <row r="188" spans="1:129" s="10" customFormat="1" hidden="1">
      <c r="A188" s="68"/>
      <c r="B188" s="68"/>
      <c r="C188" s="68"/>
      <c r="D188" s="68"/>
      <c r="E188" s="69"/>
      <c r="F188" s="69"/>
      <c r="G188" s="69"/>
      <c r="H188" s="69"/>
      <c r="I188" s="68"/>
      <c r="J188" s="68"/>
      <c r="K188" s="69"/>
      <c r="L188" s="69"/>
      <c r="M188" s="69"/>
      <c r="N188" s="69"/>
      <c r="O188" s="69"/>
      <c r="P188" s="69"/>
      <c r="Q188" s="69"/>
      <c r="R188" s="69"/>
      <c r="S188" s="69"/>
      <c r="T188" s="70"/>
      <c r="U188" s="70"/>
      <c r="V188" s="70"/>
      <c r="W188" s="68"/>
      <c r="X188" s="68"/>
      <c r="Y188" s="50"/>
      <c r="Z188" s="50"/>
      <c r="AA188" s="71"/>
      <c r="AB188" s="70"/>
      <c r="AC188" s="72"/>
      <c r="AD188" s="72"/>
      <c r="AE188" s="73"/>
      <c r="AF188" s="73"/>
      <c r="AG188" s="73"/>
      <c r="AH188" s="73"/>
      <c r="AI188" s="73"/>
      <c r="AJ188" s="252"/>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2"/>
      <c r="CF188" s="73"/>
      <c r="CG188" s="73"/>
      <c r="CH188" s="73"/>
      <c r="CI188" s="72"/>
      <c r="CJ188" s="72"/>
      <c r="CK188" s="72"/>
      <c r="CL188" s="72"/>
      <c r="CM188" s="72"/>
      <c r="CN188" s="72"/>
      <c r="CO188" s="73"/>
      <c r="CP188" s="73"/>
      <c r="CQ188" s="73"/>
      <c r="CR188" s="72"/>
      <c r="CS188" s="72"/>
      <c r="CT188" s="72"/>
      <c r="CU188" s="72"/>
      <c r="CV188" s="72"/>
      <c r="CW188" s="72"/>
      <c r="CX188" s="72"/>
      <c r="CY188" s="72"/>
      <c r="CZ188" s="72"/>
      <c r="DA188" s="72"/>
      <c r="DB188" s="72"/>
      <c r="DC188" s="72"/>
      <c r="DD188" s="72"/>
      <c r="DE188" s="72"/>
      <c r="DF188" s="72"/>
      <c r="DG188" s="72"/>
      <c r="DH188" s="72"/>
      <c r="DI188" s="72"/>
      <c r="DJ188" s="72"/>
      <c r="DK188" s="72"/>
      <c r="DL188" s="72"/>
      <c r="DM188" s="72"/>
      <c r="DN188" s="75"/>
      <c r="DO188" s="76"/>
      <c r="DP188" s="77"/>
      <c r="DQ188" s="72"/>
      <c r="DR188" s="73"/>
      <c r="DS188" s="72"/>
      <c r="DT188" s="73"/>
      <c r="DU188" s="73"/>
      <c r="DV188" s="73"/>
      <c r="DW188" s="73"/>
      <c r="DX188" s="73"/>
      <c r="DY188" s="329"/>
    </row>
    <row r="189" spans="1:129" s="10" customFormat="1" hidden="1">
      <c r="A189" s="68"/>
      <c r="B189" s="68"/>
      <c r="C189" s="68"/>
      <c r="D189" s="68"/>
      <c r="E189" s="69"/>
      <c r="F189" s="69"/>
      <c r="G189" s="69"/>
      <c r="H189" s="69"/>
      <c r="I189" s="68"/>
      <c r="J189" s="68"/>
      <c r="K189" s="69"/>
      <c r="L189" s="69"/>
      <c r="M189" s="69"/>
      <c r="N189" s="69"/>
      <c r="O189" s="69"/>
      <c r="P189" s="69"/>
      <c r="Q189" s="69"/>
      <c r="R189" s="69"/>
      <c r="S189" s="69"/>
      <c r="T189" s="70"/>
      <c r="U189" s="70"/>
      <c r="V189" s="70"/>
      <c r="W189" s="68"/>
      <c r="X189" s="68"/>
      <c r="Y189" s="50"/>
      <c r="Z189" s="50"/>
      <c r="AA189" s="71"/>
      <c r="AB189" s="70"/>
      <c r="AC189" s="72"/>
      <c r="AD189" s="72"/>
      <c r="AE189" s="73"/>
      <c r="AF189" s="73"/>
      <c r="AG189" s="73"/>
      <c r="AH189" s="73"/>
      <c r="AI189" s="73"/>
      <c r="AJ189" s="252"/>
      <c r="AK189" s="73">
        <f>+AK187-AK185</f>
        <v>0</v>
      </c>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f>+CE187-CE185</f>
        <v>0</v>
      </c>
      <c r="CF189" s="73"/>
      <c r="CG189" s="73"/>
      <c r="CH189" s="73"/>
      <c r="CI189" s="72"/>
      <c r="CJ189" s="72"/>
      <c r="CK189" s="72"/>
      <c r="CL189" s="72"/>
      <c r="CM189" s="72"/>
      <c r="CN189" s="72"/>
      <c r="CO189" s="73"/>
      <c r="CP189" s="73"/>
      <c r="CQ189" s="73"/>
      <c r="CR189" s="72"/>
      <c r="CS189" s="72"/>
      <c r="CT189" s="72"/>
      <c r="CU189" s="72"/>
      <c r="CV189" s="72"/>
      <c r="CW189" s="72"/>
      <c r="CX189" s="72"/>
      <c r="CY189" s="72"/>
      <c r="CZ189" s="72"/>
      <c r="DA189" s="72"/>
      <c r="DB189" s="72"/>
      <c r="DC189" s="72"/>
      <c r="DD189" s="72"/>
      <c r="DE189" s="72"/>
      <c r="DF189" s="72"/>
      <c r="DG189" s="72"/>
      <c r="DH189" s="72"/>
      <c r="DI189" s="72"/>
      <c r="DJ189" s="72"/>
      <c r="DK189" s="72"/>
      <c r="DL189" s="72"/>
      <c r="DM189" s="72"/>
      <c r="DN189" s="75"/>
      <c r="DO189" s="76"/>
      <c r="DP189" s="77"/>
      <c r="DQ189" s="72"/>
      <c r="DR189" s="73"/>
      <c r="DS189" s="72"/>
      <c r="DT189" s="73"/>
      <c r="DU189" s="73"/>
      <c r="DV189" s="73"/>
      <c r="DW189" s="73"/>
      <c r="DX189" s="73"/>
      <c r="DY189" s="329"/>
    </row>
    <row r="190" spans="1:129" s="10" customFormat="1">
      <c r="A190" s="68"/>
      <c r="B190" s="68"/>
      <c r="C190" s="68"/>
      <c r="D190" s="68"/>
      <c r="E190" s="69"/>
      <c r="F190" s="69"/>
      <c r="G190" s="69"/>
      <c r="H190" s="69"/>
      <c r="I190" s="68"/>
      <c r="J190" s="68"/>
      <c r="K190" s="69"/>
      <c r="L190" s="69"/>
      <c r="M190" s="69"/>
      <c r="N190" s="69"/>
      <c r="O190" s="69"/>
      <c r="P190" s="69"/>
      <c r="Q190" s="69"/>
      <c r="R190" s="69"/>
      <c r="S190" s="69"/>
      <c r="T190" s="70"/>
      <c r="U190" s="70"/>
      <c r="V190" s="70"/>
      <c r="W190" s="68"/>
      <c r="X190" s="68"/>
      <c r="Y190" s="50"/>
      <c r="Z190" s="50"/>
      <c r="AA190" s="71"/>
      <c r="AB190" s="70"/>
      <c r="AC190" s="72"/>
      <c r="AD190" s="72"/>
      <c r="AE190" s="73"/>
      <c r="AF190" s="73"/>
      <c r="AG190" s="73"/>
      <c r="AH190" s="73"/>
      <c r="AI190" s="73"/>
      <c r="AJ190" s="252"/>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2"/>
      <c r="CF190" s="73"/>
      <c r="CG190" s="73"/>
      <c r="CH190" s="73"/>
      <c r="CI190" s="72"/>
      <c r="CJ190" s="72"/>
      <c r="CK190" s="72"/>
      <c r="CL190" s="72"/>
      <c r="CM190" s="72"/>
      <c r="CN190" s="72"/>
      <c r="CO190" s="73"/>
      <c r="CP190" s="73"/>
      <c r="CQ190" s="73"/>
      <c r="CR190" s="72"/>
      <c r="CS190" s="72"/>
      <c r="CT190" s="72"/>
      <c r="CU190" s="72"/>
      <c r="CV190" s="72"/>
      <c r="CW190" s="72"/>
      <c r="CX190" s="72"/>
      <c r="CY190" s="72"/>
      <c r="CZ190" s="72"/>
      <c r="DA190" s="72"/>
      <c r="DB190" s="72"/>
      <c r="DC190" s="72"/>
      <c r="DD190" s="72"/>
      <c r="DE190" s="72"/>
      <c r="DF190" s="72"/>
      <c r="DG190" s="72"/>
      <c r="DH190" s="72"/>
      <c r="DI190" s="72"/>
      <c r="DJ190" s="72"/>
      <c r="DK190" s="72"/>
      <c r="DL190" s="72"/>
      <c r="DM190" s="72"/>
      <c r="DN190" s="75"/>
      <c r="DO190" s="76"/>
      <c r="DP190" s="77"/>
      <c r="DQ190" s="72"/>
      <c r="DR190" s="73"/>
      <c r="DS190" s="72"/>
      <c r="DT190" s="73"/>
      <c r="DU190" s="73"/>
      <c r="DV190" s="73"/>
      <c r="DW190" s="73"/>
      <c r="DX190" s="73"/>
      <c r="DY190" s="329"/>
    </row>
    <row r="191" spans="1:129" s="10" customFormat="1">
      <c r="A191" s="68"/>
      <c r="B191" s="68"/>
      <c r="C191" s="68"/>
      <c r="D191" s="68"/>
      <c r="E191" s="69"/>
      <c r="F191" s="69"/>
      <c r="G191" s="69"/>
      <c r="H191" s="69"/>
      <c r="I191" s="68"/>
      <c r="J191" s="68"/>
      <c r="K191" s="69"/>
      <c r="L191" s="69"/>
      <c r="M191" s="69"/>
      <c r="N191" s="69"/>
      <c r="O191" s="69"/>
      <c r="P191" s="69"/>
      <c r="Q191" s="69"/>
      <c r="R191" s="69"/>
      <c r="S191" s="69"/>
      <c r="T191" s="70"/>
      <c r="U191" s="70"/>
      <c r="V191" s="70"/>
      <c r="W191" s="68"/>
      <c r="X191" s="68"/>
      <c r="Y191" s="50"/>
      <c r="Z191" s="50"/>
      <c r="AA191" s="71"/>
      <c r="AB191" s="70"/>
      <c r="AC191" s="72"/>
      <c r="AD191" s="72"/>
      <c r="AE191" s="73"/>
      <c r="AF191" s="73"/>
      <c r="AG191" s="73"/>
      <c r="AH191" s="73"/>
      <c r="AI191" s="73"/>
      <c r="AJ191" s="252"/>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2"/>
      <c r="CF191" s="73"/>
      <c r="CG191" s="73"/>
      <c r="CH191" s="73"/>
      <c r="CI191" s="72"/>
      <c r="CJ191" s="72"/>
      <c r="CK191" s="72"/>
      <c r="CL191" s="72"/>
      <c r="CM191" s="72"/>
      <c r="CN191" s="72"/>
      <c r="CO191" s="73"/>
      <c r="CP191" s="73"/>
      <c r="CQ191" s="73"/>
      <c r="CR191" s="72"/>
      <c r="CS191" s="72"/>
      <c r="CT191" s="72"/>
      <c r="CU191" s="72"/>
      <c r="CV191" s="72"/>
      <c r="CW191" s="72"/>
      <c r="CX191" s="72"/>
      <c r="CY191" s="72"/>
      <c r="CZ191" s="72"/>
      <c r="DA191" s="72"/>
      <c r="DB191" s="72"/>
      <c r="DC191" s="72"/>
      <c r="DD191" s="72"/>
      <c r="DE191" s="72"/>
      <c r="DF191" s="72"/>
      <c r="DG191" s="72"/>
      <c r="DH191" s="72"/>
      <c r="DI191" s="72"/>
      <c r="DJ191" s="72"/>
      <c r="DK191" s="72"/>
      <c r="DL191" s="72"/>
      <c r="DM191" s="72"/>
      <c r="DN191" s="75"/>
      <c r="DO191" s="76"/>
      <c r="DP191" s="77"/>
      <c r="DQ191" s="72"/>
      <c r="DR191" s="73"/>
      <c r="DS191" s="72"/>
      <c r="DT191" s="73"/>
      <c r="DU191" s="73"/>
      <c r="DV191" s="73"/>
      <c r="DW191" s="73"/>
      <c r="DX191" s="73"/>
      <c r="DY191" s="329"/>
    </row>
    <row r="192" spans="1:129" s="10" customFormat="1">
      <c r="A192" s="68"/>
      <c r="B192" s="68"/>
      <c r="C192" s="68"/>
      <c r="D192" s="68"/>
      <c r="E192" s="69"/>
      <c r="F192" s="69"/>
      <c r="G192" s="69"/>
      <c r="H192" s="69"/>
      <c r="I192" s="68"/>
      <c r="J192" s="68"/>
      <c r="K192" s="69"/>
      <c r="L192" s="69"/>
      <c r="M192" s="69"/>
      <c r="N192" s="69"/>
      <c r="O192" s="69"/>
      <c r="P192" s="69"/>
      <c r="Q192" s="69"/>
      <c r="R192" s="69"/>
      <c r="S192" s="69"/>
      <c r="T192" s="70"/>
      <c r="U192" s="70"/>
      <c r="V192" s="70"/>
      <c r="W192" s="68"/>
      <c r="X192" s="68"/>
      <c r="Y192" s="50"/>
      <c r="Z192" s="50"/>
      <c r="AA192" s="71"/>
      <c r="AB192" s="70"/>
      <c r="AC192" s="72"/>
      <c r="AD192" s="72"/>
      <c r="AE192" s="73"/>
      <c r="AF192" s="73"/>
      <c r="AG192" s="73"/>
      <c r="AH192" s="73"/>
      <c r="AI192" s="73"/>
      <c r="AJ192" s="252"/>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2"/>
      <c r="CF192" s="73"/>
      <c r="CG192" s="73"/>
      <c r="CH192" s="73"/>
      <c r="CI192" s="72"/>
      <c r="CJ192" s="72"/>
      <c r="CK192" s="72"/>
      <c r="CL192" s="72"/>
      <c r="CM192" s="72"/>
      <c r="CN192" s="72"/>
      <c r="CO192" s="73"/>
      <c r="CP192" s="73"/>
      <c r="CQ192" s="73"/>
      <c r="CR192" s="72"/>
      <c r="CS192" s="72"/>
      <c r="CT192" s="72"/>
      <c r="CU192" s="72"/>
      <c r="CV192" s="72"/>
      <c r="CW192" s="72"/>
      <c r="CX192" s="72"/>
      <c r="CY192" s="72"/>
      <c r="CZ192" s="72"/>
      <c r="DA192" s="72"/>
      <c r="DB192" s="72"/>
      <c r="DC192" s="72"/>
      <c r="DD192" s="72"/>
      <c r="DE192" s="72"/>
      <c r="DF192" s="72"/>
      <c r="DG192" s="72"/>
      <c r="DH192" s="72"/>
      <c r="DI192" s="72"/>
      <c r="DJ192" s="72"/>
      <c r="DK192" s="72"/>
      <c r="DL192" s="72"/>
      <c r="DM192" s="72"/>
      <c r="DN192" s="75"/>
      <c r="DO192" s="76"/>
      <c r="DP192" s="77"/>
      <c r="DQ192" s="72"/>
      <c r="DR192" s="73"/>
      <c r="DS192" s="72"/>
      <c r="DT192" s="73"/>
      <c r="DU192" s="73"/>
      <c r="DV192" s="73"/>
      <c r="DW192" s="73"/>
      <c r="DX192" s="73"/>
      <c r="DY192" s="329"/>
    </row>
    <row r="193" spans="1:129" s="10" customFormat="1">
      <c r="A193" s="68"/>
      <c r="B193" s="68"/>
      <c r="C193" s="68"/>
      <c r="D193" s="68"/>
      <c r="E193" s="69"/>
      <c r="F193" s="69"/>
      <c r="G193" s="69"/>
      <c r="H193" s="69"/>
      <c r="I193" s="68"/>
      <c r="J193" s="68"/>
      <c r="K193" s="69"/>
      <c r="L193" s="69"/>
      <c r="M193" s="69"/>
      <c r="N193" s="69"/>
      <c r="O193" s="69"/>
      <c r="P193" s="69"/>
      <c r="Q193" s="69"/>
      <c r="R193" s="69"/>
      <c r="S193" s="69"/>
      <c r="T193" s="70"/>
      <c r="U193" s="70"/>
      <c r="V193" s="70"/>
      <c r="W193" s="68"/>
      <c r="X193" s="68"/>
      <c r="Y193" s="50"/>
      <c r="Z193" s="50"/>
      <c r="AA193" s="71"/>
      <c r="AB193" s="70"/>
      <c r="AC193" s="72"/>
      <c r="AD193" s="72"/>
      <c r="AE193" s="73"/>
      <c r="AF193" s="73"/>
      <c r="AG193" s="73"/>
      <c r="AH193" s="73"/>
      <c r="AI193" s="73"/>
      <c r="AJ193" s="252"/>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2"/>
      <c r="CF193" s="73"/>
      <c r="CG193" s="73"/>
      <c r="CH193" s="73"/>
      <c r="CI193" s="72"/>
      <c r="CJ193" s="72"/>
      <c r="CK193" s="72"/>
      <c r="CL193" s="72"/>
      <c r="CM193" s="72"/>
      <c r="CN193" s="72"/>
      <c r="CO193" s="73"/>
      <c r="CP193" s="73"/>
      <c r="CQ193" s="73"/>
      <c r="CR193" s="72"/>
      <c r="CS193" s="72"/>
      <c r="CT193" s="72"/>
      <c r="CU193" s="72"/>
      <c r="CV193" s="72"/>
      <c r="CW193" s="72"/>
      <c r="CX193" s="72"/>
      <c r="CY193" s="72"/>
      <c r="CZ193" s="72"/>
      <c r="DA193" s="72"/>
      <c r="DB193" s="72"/>
      <c r="DC193" s="72"/>
      <c r="DD193" s="72"/>
      <c r="DE193" s="72"/>
      <c r="DF193" s="72"/>
      <c r="DG193" s="72"/>
      <c r="DH193" s="72"/>
      <c r="DI193" s="72"/>
      <c r="DJ193" s="72"/>
      <c r="DK193" s="72"/>
      <c r="DL193" s="72"/>
      <c r="DM193" s="72"/>
      <c r="DN193" s="75"/>
      <c r="DO193" s="76"/>
      <c r="DP193" s="77"/>
      <c r="DQ193" s="72"/>
      <c r="DR193" s="73"/>
      <c r="DS193" s="72"/>
      <c r="DT193" s="73"/>
      <c r="DU193" s="73"/>
      <c r="DV193" s="73"/>
      <c r="DW193" s="73"/>
      <c r="DX193" s="73"/>
      <c r="DY193" s="329"/>
    </row>
    <row r="194" spans="1:129" s="10" customFormat="1">
      <c r="A194" s="68"/>
      <c r="B194" s="68"/>
      <c r="C194" s="68"/>
      <c r="D194" s="68"/>
      <c r="E194" s="69"/>
      <c r="F194" s="69"/>
      <c r="G194" s="69"/>
      <c r="H194" s="69"/>
      <c r="I194" s="68"/>
      <c r="J194" s="68"/>
      <c r="K194" s="69"/>
      <c r="L194" s="69"/>
      <c r="M194" s="69"/>
      <c r="N194" s="69"/>
      <c r="O194" s="69"/>
      <c r="P194" s="69"/>
      <c r="Q194" s="69"/>
      <c r="R194" s="69"/>
      <c r="S194" s="69"/>
      <c r="T194" s="70"/>
      <c r="U194" s="70"/>
      <c r="V194" s="70"/>
      <c r="W194" s="68"/>
      <c r="X194" s="68"/>
      <c r="Y194" s="50"/>
      <c r="Z194" s="50"/>
      <c r="AA194" s="71"/>
      <c r="AB194" s="70"/>
      <c r="AC194" s="72"/>
      <c r="AD194" s="72"/>
      <c r="AE194" s="73"/>
      <c r="AF194" s="73"/>
      <c r="AG194" s="73"/>
      <c r="AH194" s="73"/>
      <c r="AI194" s="73"/>
      <c r="AJ194" s="252"/>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2"/>
      <c r="CF194" s="73"/>
      <c r="CG194" s="73"/>
      <c r="CH194" s="73"/>
      <c r="CI194" s="72"/>
      <c r="CJ194" s="72"/>
      <c r="CK194" s="72"/>
      <c r="CL194" s="72"/>
      <c r="CM194" s="72"/>
      <c r="CN194" s="72"/>
      <c r="CO194" s="73"/>
      <c r="CP194" s="73"/>
      <c r="CQ194" s="73"/>
      <c r="CR194" s="72"/>
      <c r="CS194" s="72"/>
      <c r="CT194" s="72"/>
      <c r="CU194" s="72"/>
      <c r="CV194" s="72"/>
      <c r="CW194" s="72"/>
      <c r="CX194" s="72"/>
      <c r="CY194" s="72"/>
      <c r="CZ194" s="72"/>
      <c r="DA194" s="72"/>
      <c r="DB194" s="72"/>
      <c r="DC194" s="72"/>
      <c r="DD194" s="72"/>
      <c r="DE194" s="72"/>
      <c r="DF194" s="72"/>
      <c r="DG194" s="72"/>
      <c r="DH194" s="72"/>
      <c r="DI194" s="72"/>
      <c r="DJ194" s="72"/>
      <c r="DK194" s="72"/>
      <c r="DL194" s="72"/>
      <c r="DM194" s="72"/>
      <c r="DN194" s="75"/>
      <c r="DO194" s="76"/>
      <c r="DP194" s="77"/>
      <c r="DQ194" s="72"/>
      <c r="DR194" s="73"/>
      <c r="DS194" s="72"/>
      <c r="DT194" s="73"/>
      <c r="DU194" s="73"/>
      <c r="DV194" s="73"/>
      <c r="DW194" s="73"/>
      <c r="DX194" s="73"/>
      <c r="DY194" s="329"/>
    </row>
    <row r="195" spans="1:129" s="10" customFormat="1">
      <c r="A195" s="68"/>
      <c r="B195" s="68"/>
      <c r="C195" s="68"/>
      <c r="D195" s="68"/>
      <c r="E195" s="69"/>
      <c r="F195" s="69"/>
      <c r="G195" s="69"/>
      <c r="H195" s="69"/>
      <c r="I195" s="68"/>
      <c r="J195" s="68"/>
      <c r="K195" s="69"/>
      <c r="L195" s="69"/>
      <c r="M195" s="69"/>
      <c r="N195" s="69"/>
      <c r="O195" s="69"/>
      <c r="P195" s="69"/>
      <c r="Q195" s="69"/>
      <c r="R195" s="69"/>
      <c r="S195" s="69"/>
      <c r="T195" s="70"/>
      <c r="U195" s="70"/>
      <c r="V195" s="70"/>
      <c r="W195" s="68"/>
      <c r="X195" s="68"/>
      <c r="Y195" s="50"/>
      <c r="Z195" s="50"/>
      <c r="AA195" s="71"/>
      <c r="AB195" s="70"/>
      <c r="AC195" s="72"/>
      <c r="AD195" s="72"/>
      <c r="AE195" s="73"/>
      <c r="AF195" s="73"/>
      <c r="AG195" s="73"/>
      <c r="AH195" s="73"/>
      <c r="AI195" s="73"/>
      <c r="AJ195" s="252"/>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2"/>
      <c r="CF195" s="73"/>
      <c r="CG195" s="73"/>
      <c r="CH195" s="73"/>
      <c r="CI195" s="72"/>
      <c r="CJ195" s="72"/>
      <c r="CK195" s="72"/>
      <c r="CL195" s="72"/>
      <c r="CM195" s="72"/>
      <c r="CN195" s="72"/>
      <c r="CO195" s="73"/>
      <c r="CP195" s="73"/>
      <c r="CQ195" s="73"/>
      <c r="CR195" s="72"/>
      <c r="CS195" s="72"/>
      <c r="CT195" s="72"/>
      <c r="CU195" s="72"/>
      <c r="CV195" s="72"/>
      <c r="CW195" s="72"/>
      <c r="CX195" s="72"/>
      <c r="CY195" s="72"/>
      <c r="CZ195" s="72"/>
      <c r="DA195" s="72"/>
      <c r="DB195" s="72"/>
      <c r="DC195" s="72"/>
      <c r="DD195" s="72"/>
      <c r="DE195" s="72"/>
      <c r="DF195" s="72"/>
      <c r="DG195" s="72"/>
      <c r="DH195" s="72"/>
      <c r="DI195" s="72"/>
      <c r="DJ195" s="72"/>
      <c r="DK195" s="72"/>
      <c r="DL195" s="72"/>
      <c r="DM195" s="72"/>
      <c r="DN195" s="75"/>
      <c r="DO195" s="76"/>
      <c r="DP195" s="77"/>
      <c r="DQ195" s="72"/>
      <c r="DR195" s="73"/>
      <c r="DS195" s="72"/>
      <c r="DT195" s="73"/>
      <c r="DU195" s="73"/>
      <c r="DV195" s="73"/>
      <c r="DW195" s="73"/>
      <c r="DX195" s="73"/>
      <c r="DY195" s="329"/>
    </row>
    <row r="196" spans="1:129" s="10" customFormat="1">
      <c r="A196" s="68"/>
      <c r="B196" s="68"/>
      <c r="C196" s="68"/>
      <c r="D196" s="68"/>
      <c r="E196" s="69"/>
      <c r="F196" s="69"/>
      <c r="G196" s="69"/>
      <c r="H196" s="69"/>
      <c r="I196" s="68"/>
      <c r="J196" s="68"/>
      <c r="K196" s="69"/>
      <c r="L196" s="69"/>
      <c r="M196" s="69"/>
      <c r="N196" s="69"/>
      <c r="O196" s="69"/>
      <c r="P196" s="69"/>
      <c r="Q196" s="69"/>
      <c r="R196" s="69"/>
      <c r="S196" s="69"/>
      <c r="T196" s="70"/>
      <c r="U196" s="70"/>
      <c r="V196" s="70"/>
      <c r="W196" s="68"/>
      <c r="X196" s="68"/>
      <c r="Y196" s="50"/>
      <c r="Z196" s="50"/>
      <c r="AA196" s="71"/>
      <c r="AB196" s="70"/>
      <c r="AC196" s="72"/>
      <c r="AD196" s="72"/>
      <c r="AE196" s="73"/>
      <c r="AF196" s="73"/>
      <c r="AG196" s="73"/>
      <c r="AH196" s="73"/>
      <c r="AI196" s="73"/>
      <c r="AJ196" s="252"/>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2"/>
      <c r="CF196" s="73"/>
      <c r="CG196" s="73"/>
      <c r="CH196" s="73"/>
      <c r="CI196" s="72"/>
      <c r="CJ196" s="72"/>
      <c r="CK196" s="72"/>
      <c r="CL196" s="72"/>
      <c r="CM196" s="72"/>
      <c r="CN196" s="72"/>
      <c r="CO196" s="73"/>
      <c r="CP196" s="73"/>
      <c r="CQ196" s="73"/>
      <c r="CR196" s="72"/>
      <c r="CS196" s="72"/>
      <c r="CT196" s="72"/>
      <c r="CU196" s="72"/>
      <c r="CV196" s="72"/>
      <c r="CW196" s="72"/>
      <c r="CX196" s="72"/>
      <c r="CY196" s="72"/>
      <c r="CZ196" s="72"/>
      <c r="DA196" s="72"/>
      <c r="DB196" s="72"/>
      <c r="DC196" s="72"/>
      <c r="DD196" s="72"/>
      <c r="DE196" s="72"/>
      <c r="DF196" s="72"/>
      <c r="DG196" s="72"/>
      <c r="DH196" s="72"/>
      <c r="DI196" s="72"/>
      <c r="DJ196" s="72"/>
      <c r="DK196" s="72"/>
      <c r="DL196" s="72"/>
      <c r="DM196" s="72"/>
      <c r="DN196" s="75"/>
      <c r="DO196" s="76"/>
      <c r="DP196" s="77"/>
      <c r="DQ196" s="72"/>
      <c r="DR196" s="73"/>
      <c r="DS196" s="72"/>
      <c r="DT196" s="73"/>
      <c r="DU196" s="73"/>
      <c r="DV196" s="73"/>
      <c r="DW196" s="73"/>
      <c r="DX196" s="73"/>
      <c r="DY196" s="329"/>
    </row>
    <row r="197" spans="1:129" s="10" customFormat="1">
      <c r="A197" s="68"/>
      <c r="B197" s="68"/>
      <c r="C197" s="68"/>
      <c r="D197" s="68"/>
      <c r="E197" s="69"/>
      <c r="F197" s="69"/>
      <c r="G197" s="69"/>
      <c r="H197" s="69"/>
      <c r="I197" s="68"/>
      <c r="J197" s="68"/>
      <c r="K197" s="69"/>
      <c r="L197" s="69"/>
      <c r="M197" s="69"/>
      <c r="N197" s="69"/>
      <c r="O197" s="69"/>
      <c r="P197" s="69"/>
      <c r="Q197" s="69"/>
      <c r="R197" s="69"/>
      <c r="S197" s="69"/>
      <c r="T197" s="70"/>
      <c r="U197" s="70"/>
      <c r="V197" s="70"/>
      <c r="W197" s="68"/>
      <c r="X197" s="68"/>
      <c r="Y197" s="50"/>
      <c r="Z197" s="50"/>
      <c r="AA197" s="71"/>
      <c r="AB197" s="70"/>
      <c r="AC197" s="72"/>
      <c r="AD197" s="72"/>
      <c r="AE197" s="73"/>
      <c r="AF197" s="73"/>
      <c r="AG197" s="73"/>
      <c r="AH197" s="73"/>
      <c r="AI197" s="73"/>
      <c r="AJ197" s="252"/>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2"/>
      <c r="CF197" s="73"/>
      <c r="CG197" s="73"/>
      <c r="CH197" s="73"/>
      <c r="CI197" s="72"/>
      <c r="CJ197" s="72"/>
      <c r="CK197" s="72"/>
      <c r="CL197" s="72"/>
      <c r="CM197" s="72"/>
      <c r="CN197" s="72"/>
      <c r="CO197" s="73"/>
      <c r="CP197" s="73"/>
      <c r="CQ197" s="73"/>
      <c r="CR197" s="72"/>
      <c r="CS197" s="72"/>
      <c r="CT197" s="72"/>
      <c r="CU197" s="72"/>
      <c r="CV197" s="72"/>
      <c r="CW197" s="72"/>
      <c r="CX197" s="72"/>
      <c r="CY197" s="72"/>
      <c r="CZ197" s="72"/>
      <c r="DA197" s="72"/>
      <c r="DB197" s="72"/>
      <c r="DC197" s="72"/>
      <c r="DD197" s="72"/>
      <c r="DE197" s="72"/>
      <c r="DF197" s="72"/>
      <c r="DG197" s="72"/>
      <c r="DH197" s="72"/>
      <c r="DI197" s="72"/>
      <c r="DJ197" s="72"/>
      <c r="DK197" s="72"/>
      <c r="DL197" s="72"/>
      <c r="DM197" s="72"/>
      <c r="DN197" s="75"/>
      <c r="DO197" s="76"/>
      <c r="DP197" s="77"/>
      <c r="DQ197" s="72"/>
      <c r="DR197" s="73"/>
      <c r="DS197" s="72"/>
      <c r="DT197" s="73"/>
      <c r="DU197" s="73"/>
      <c r="DV197" s="73"/>
      <c r="DW197" s="73"/>
      <c r="DX197" s="73"/>
      <c r="DY197" s="329"/>
    </row>
    <row r="198" spans="1:129" s="10" customFormat="1">
      <c r="A198" s="68"/>
      <c r="B198" s="68"/>
      <c r="C198" s="68"/>
      <c r="D198" s="68"/>
      <c r="E198" s="69"/>
      <c r="F198" s="69"/>
      <c r="G198" s="69"/>
      <c r="H198" s="69"/>
      <c r="I198" s="68"/>
      <c r="J198" s="68"/>
      <c r="K198" s="69"/>
      <c r="L198" s="69"/>
      <c r="M198" s="69"/>
      <c r="N198" s="69"/>
      <c r="O198" s="69"/>
      <c r="P198" s="69"/>
      <c r="Q198" s="69"/>
      <c r="R198" s="69"/>
      <c r="S198" s="69"/>
      <c r="T198" s="70"/>
      <c r="U198" s="70"/>
      <c r="V198" s="70"/>
      <c r="W198" s="68"/>
      <c r="X198" s="68"/>
      <c r="Y198" s="50"/>
      <c r="Z198" s="50"/>
      <c r="AA198" s="71"/>
      <c r="AB198" s="70"/>
      <c r="AC198" s="72"/>
      <c r="AD198" s="72"/>
      <c r="AE198" s="73"/>
      <c r="AF198" s="73"/>
      <c r="AG198" s="73"/>
      <c r="AH198" s="73"/>
      <c r="AI198" s="73"/>
      <c r="AJ198" s="252"/>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2"/>
      <c r="CF198" s="73"/>
      <c r="CG198" s="73"/>
      <c r="CH198" s="73"/>
      <c r="CI198" s="72"/>
      <c r="CJ198" s="72"/>
      <c r="CK198" s="72"/>
      <c r="CL198" s="72"/>
      <c r="CM198" s="72"/>
      <c r="CN198" s="72"/>
      <c r="CO198" s="73"/>
      <c r="CP198" s="73"/>
      <c r="CQ198" s="73"/>
      <c r="CR198" s="72"/>
      <c r="CS198" s="72"/>
      <c r="CT198" s="72"/>
      <c r="CU198" s="72"/>
      <c r="CV198" s="72"/>
      <c r="CW198" s="72"/>
      <c r="CX198" s="72"/>
      <c r="CY198" s="72"/>
      <c r="CZ198" s="72"/>
      <c r="DA198" s="72"/>
      <c r="DB198" s="72"/>
      <c r="DC198" s="72"/>
      <c r="DD198" s="72"/>
      <c r="DE198" s="72"/>
      <c r="DF198" s="72"/>
      <c r="DG198" s="72"/>
      <c r="DH198" s="72"/>
      <c r="DI198" s="72"/>
      <c r="DJ198" s="72"/>
      <c r="DK198" s="72"/>
      <c r="DL198" s="72"/>
      <c r="DM198" s="72"/>
      <c r="DN198" s="75"/>
      <c r="DO198" s="76"/>
      <c r="DP198" s="77"/>
      <c r="DQ198" s="72"/>
      <c r="DR198" s="73"/>
      <c r="DS198" s="72"/>
      <c r="DT198" s="73"/>
      <c r="DU198" s="73"/>
      <c r="DV198" s="73"/>
      <c r="DW198" s="73"/>
      <c r="DX198" s="73"/>
      <c r="DY198" s="329"/>
    </row>
    <row r="199" spans="1:129" s="10" customFormat="1">
      <c r="A199" s="68"/>
      <c r="B199" s="68"/>
      <c r="C199" s="68"/>
      <c r="D199" s="68"/>
      <c r="E199" s="69"/>
      <c r="F199" s="69"/>
      <c r="G199" s="69"/>
      <c r="H199" s="69"/>
      <c r="I199" s="68"/>
      <c r="J199" s="68"/>
      <c r="K199" s="69"/>
      <c r="L199" s="69"/>
      <c r="M199" s="69"/>
      <c r="N199" s="69"/>
      <c r="O199" s="69"/>
      <c r="P199" s="69"/>
      <c r="Q199" s="69"/>
      <c r="R199" s="69"/>
      <c r="S199" s="69"/>
      <c r="T199" s="70"/>
      <c r="U199" s="70"/>
      <c r="V199" s="70"/>
      <c r="W199" s="68"/>
      <c r="X199" s="68"/>
      <c r="Y199" s="50"/>
      <c r="Z199" s="50"/>
      <c r="AA199" s="71"/>
      <c r="AB199" s="70"/>
      <c r="AC199" s="72"/>
      <c r="AD199" s="72"/>
      <c r="AE199" s="73"/>
      <c r="AF199" s="73"/>
      <c r="AG199" s="73"/>
      <c r="AH199" s="73"/>
      <c r="AI199" s="73"/>
      <c r="AJ199" s="252"/>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2"/>
      <c r="CF199" s="73"/>
      <c r="CG199" s="73"/>
      <c r="CH199" s="73"/>
      <c r="CI199" s="72"/>
      <c r="CJ199" s="72"/>
      <c r="CK199" s="72"/>
      <c r="CL199" s="72"/>
      <c r="CM199" s="72"/>
      <c r="CN199" s="72"/>
      <c r="CO199" s="73"/>
      <c r="CP199" s="73"/>
      <c r="CQ199" s="73"/>
      <c r="CR199" s="72"/>
      <c r="CS199" s="72"/>
      <c r="CT199" s="72"/>
      <c r="CU199" s="72"/>
      <c r="CV199" s="72"/>
      <c r="CW199" s="72"/>
      <c r="CX199" s="72"/>
      <c r="CY199" s="72"/>
      <c r="CZ199" s="72"/>
      <c r="DA199" s="72"/>
      <c r="DB199" s="72"/>
      <c r="DC199" s="72"/>
      <c r="DD199" s="72"/>
      <c r="DE199" s="72"/>
      <c r="DF199" s="72"/>
      <c r="DG199" s="72"/>
      <c r="DH199" s="72"/>
      <c r="DI199" s="72"/>
      <c r="DJ199" s="72"/>
      <c r="DK199" s="72"/>
      <c r="DL199" s="72"/>
      <c r="DM199" s="72"/>
      <c r="DN199" s="75"/>
      <c r="DO199" s="76"/>
      <c r="DP199" s="77"/>
      <c r="DQ199" s="72"/>
      <c r="DR199" s="73"/>
      <c r="DS199" s="72"/>
      <c r="DT199" s="73"/>
      <c r="DU199" s="73"/>
      <c r="DV199" s="73"/>
      <c r="DW199" s="73"/>
      <c r="DX199" s="73"/>
      <c r="DY199" s="329"/>
    </row>
    <row r="200" spans="1:129" s="10" customFormat="1">
      <c r="A200" s="68"/>
      <c r="B200" s="68"/>
      <c r="C200" s="68"/>
      <c r="D200" s="68"/>
      <c r="E200" s="69"/>
      <c r="F200" s="69"/>
      <c r="G200" s="69"/>
      <c r="H200" s="69"/>
      <c r="I200" s="68"/>
      <c r="J200" s="68"/>
      <c r="K200" s="69"/>
      <c r="L200" s="69"/>
      <c r="M200" s="69"/>
      <c r="N200" s="69"/>
      <c r="O200" s="69"/>
      <c r="P200" s="69"/>
      <c r="Q200" s="69"/>
      <c r="R200" s="69"/>
      <c r="S200" s="69"/>
      <c r="T200" s="70"/>
      <c r="U200" s="70"/>
      <c r="V200" s="70"/>
      <c r="W200" s="68"/>
      <c r="X200" s="68"/>
      <c r="Y200" s="50"/>
      <c r="Z200" s="50"/>
      <c r="AA200" s="71"/>
      <c r="AB200" s="70"/>
      <c r="AC200" s="72"/>
      <c r="AD200" s="72"/>
      <c r="AE200" s="73"/>
      <c r="AF200" s="73"/>
      <c r="AG200" s="73"/>
      <c r="AH200" s="73"/>
      <c r="AI200" s="73"/>
      <c r="AJ200" s="252"/>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2"/>
      <c r="CF200" s="73"/>
      <c r="CG200" s="73"/>
      <c r="CH200" s="73"/>
      <c r="CI200" s="72"/>
      <c r="CJ200" s="72"/>
      <c r="CK200" s="72"/>
      <c r="CL200" s="72"/>
      <c r="CM200" s="72"/>
      <c r="CN200" s="72"/>
      <c r="CO200" s="73"/>
      <c r="CP200" s="73"/>
      <c r="CQ200" s="73"/>
      <c r="CR200" s="72"/>
      <c r="CS200" s="72"/>
      <c r="CT200" s="72"/>
      <c r="CU200" s="72"/>
      <c r="CV200" s="72"/>
      <c r="CW200" s="72"/>
      <c r="CX200" s="72"/>
      <c r="CY200" s="72"/>
      <c r="CZ200" s="72"/>
      <c r="DA200" s="72"/>
      <c r="DB200" s="72"/>
      <c r="DC200" s="72"/>
      <c r="DD200" s="72"/>
      <c r="DE200" s="72"/>
      <c r="DF200" s="72"/>
      <c r="DG200" s="72"/>
      <c r="DH200" s="72"/>
      <c r="DI200" s="72"/>
      <c r="DJ200" s="72"/>
      <c r="DK200" s="72"/>
      <c r="DL200" s="72"/>
      <c r="DM200" s="72"/>
      <c r="DN200" s="75"/>
      <c r="DO200" s="76"/>
      <c r="DP200" s="77"/>
      <c r="DQ200" s="72"/>
      <c r="DR200" s="73"/>
      <c r="DS200" s="72"/>
      <c r="DT200" s="73"/>
      <c r="DU200" s="73"/>
      <c r="DV200" s="73"/>
      <c r="DW200" s="73"/>
      <c r="DX200" s="73"/>
      <c r="DY200" s="329"/>
    </row>
    <row r="201" spans="1:129">
      <c r="A201" s="78"/>
      <c r="B201" s="78"/>
      <c r="C201" s="78"/>
      <c r="D201" s="78"/>
      <c r="E201" s="79"/>
      <c r="F201" s="79"/>
      <c r="G201" s="79"/>
      <c r="H201" s="79"/>
      <c r="I201" s="78"/>
      <c r="J201" s="78"/>
      <c r="K201" s="79"/>
      <c r="L201" s="79"/>
      <c r="M201" s="79"/>
      <c r="N201" s="79"/>
      <c r="O201" s="79"/>
      <c r="P201" s="79"/>
      <c r="Q201" s="79"/>
      <c r="R201" s="79"/>
      <c r="S201" s="79"/>
      <c r="T201" s="80"/>
      <c r="U201" s="80"/>
      <c r="V201" s="80"/>
      <c r="W201" s="68"/>
      <c r="X201" s="68"/>
      <c r="Y201" s="81"/>
      <c r="Z201" s="81"/>
      <c r="AA201" s="86"/>
      <c r="AB201" s="80"/>
      <c r="AC201" s="83"/>
      <c r="AD201" s="83"/>
      <c r="AE201" s="73"/>
      <c r="AF201" s="73"/>
      <c r="AG201" s="73"/>
      <c r="AH201" s="73"/>
      <c r="AI201" s="73"/>
      <c r="AJ201" s="25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3"/>
      <c r="CF201" s="73"/>
      <c r="CG201" s="73"/>
      <c r="CH201" s="73"/>
      <c r="CI201" s="83"/>
      <c r="CJ201" s="83"/>
      <c r="CK201" s="83"/>
      <c r="CL201" s="74"/>
      <c r="CM201" s="83"/>
      <c r="CN201" s="83"/>
      <c r="CO201" s="82"/>
      <c r="CP201" s="73"/>
      <c r="CQ201" s="73"/>
      <c r="CR201" s="83"/>
      <c r="CS201" s="83"/>
      <c r="CT201" s="83"/>
      <c r="CU201" s="83"/>
      <c r="CV201" s="83"/>
      <c r="CW201" s="83"/>
      <c r="CX201" s="83"/>
      <c r="CY201" s="83"/>
      <c r="CZ201" s="83"/>
      <c r="DA201" s="83"/>
      <c r="DB201" s="83"/>
      <c r="DC201" s="83"/>
      <c r="DD201" s="83"/>
      <c r="DE201" s="83"/>
      <c r="DF201" s="83"/>
      <c r="DG201" s="83"/>
      <c r="DH201" s="83"/>
      <c r="DI201" s="83"/>
      <c r="DJ201" s="83"/>
      <c r="DK201" s="83"/>
      <c r="DL201" s="83"/>
      <c r="DM201" s="83"/>
      <c r="DN201" s="87"/>
      <c r="DO201" s="76"/>
      <c r="DP201" s="77"/>
      <c r="DQ201" s="83"/>
      <c r="DR201" s="82"/>
      <c r="DS201" s="83"/>
      <c r="DT201" s="82"/>
      <c r="DU201" s="82"/>
      <c r="DV201" s="82"/>
      <c r="DW201" s="82"/>
      <c r="DX201" s="73"/>
    </row>
    <row r="202" spans="1:129">
      <c r="A202" s="78"/>
      <c r="B202" s="78"/>
      <c r="C202" s="78"/>
      <c r="D202" s="78"/>
      <c r="E202" s="79"/>
      <c r="F202" s="79"/>
      <c r="G202" s="79"/>
      <c r="H202" s="79"/>
      <c r="I202" s="78"/>
      <c r="J202" s="78"/>
      <c r="K202" s="79"/>
      <c r="L202" s="79"/>
      <c r="M202" s="79"/>
      <c r="N202" s="79"/>
      <c r="O202" s="79"/>
      <c r="P202" s="79"/>
      <c r="Q202" s="79"/>
      <c r="R202" s="79"/>
      <c r="S202" s="79"/>
      <c r="T202" s="80"/>
      <c r="U202" s="80"/>
      <c r="V202" s="80"/>
      <c r="W202" s="68"/>
      <c r="X202" s="68"/>
      <c r="Y202" s="81"/>
      <c r="Z202" s="81"/>
      <c r="AA202" s="86"/>
      <c r="AB202" s="80"/>
      <c r="AC202" s="83"/>
      <c r="AD202" s="83"/>
      <c r="AE202" s="73"/>
      <c r="AF202" s="73"/>
      <c r="AG202" s="73"/>
      <c r="AH202" s="73"/>
      <c r="AI202" s="73"/>
      <c r="AJ202" s="25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3"/>
      <c r="CF202" s="73"/>
      <c r="CG202" s="73"/>
      <c r="CH202" s="73"/>
      <c r="CI202" s="83"/>
      <c r="CJ202" s="83"/>
      <c r="CK202" s="83"/>
      <c r="CL202" s="74"/>
      <c r="CM202" s="83"/>
      <c r="CN202" s="83"/>
      <c r="CO202" s="82"/>
      <c r="CP202" s="73"/>
      <c r="CQ202" s="73"/>
      <c r="CR202" s="83"/>
      <c r="CS202" s="83"/>
      <c r="CT202" s="83"/>
      <c r="CU202" s="83"/>
      <c r="CV202" s="83"/>
      <c r="CW202" s="83"/>
      <c r="CX202" s="83"/>
      <c r="CY202" s="83"/>
      <c r="CZ202" s="83"/>
      <c r="DA202" s="83"/>
      <c r="DB202" s="83"/>
      <c r="DC202" s="83"/>
      <c r="DD202" s="83"/>
      <c r="DE202" s="83"/>
      <c r="DF202" s="83"/>
      <c r="DG202" s="83"/>
      <c r="DH202" s="83"/>
      <c r="DI202" s="83"/>
      <c r="DJ202" s="83"/>
      <c r="DK202" s="83"/>
      <c r="DL202" s="83"/>
      <c r="DM202" s="83"/>
      <c r="DN202" s="87"/>
      <c r="DO202" s="76"/>
      <c r="DP202" s="77"/>
      <c r="DQ202" s="83"/>
      <c r="DR202" s="82"/>
      <c r="DS202" s="83"/>
      <c r="DT202" s="82"/>
      <c r="DU202" s="82"/>
      <c r="DV202" s="82"/>
      <c r="DW202" s="82"/>
      <c r="DX202" s="73"/>
    </row>
    <row r="203" spans="1:129">
      <c r="A203" s="78"/>
      <c r="B203" s="78"/>
      <c r="C203" s="78"/>
      <c r="D203" s="78"/>
      <c r="E203" s="79"/>
      <c r="F203" s="79"/>
      <c r="G203" s="79"/>
      <c r="H203" s="79"/>
      <c r="I203" s="78"/>
      <c r="J203" s="78"/>
      <c r="K203" s="79"/>
      <c r="L203" s="79"/>
      <c r="M203" s="79"/>
      <c r="N203" s="79"/>
      <c r="O203" s="79"/>
      <c r="P203" s="79"/>
      <c r="Q203" s="79"/>
      <c r="R203" s="79"/>
      <c r="S203" s="79"/>
      <c r="T203" s="80"/>
      <c r="U203" s="80"/>
      <c r="V203" s="80"/>
      <c r="W203" s="68"/>
      <c r="X203" s="68"/>
      <c r="Y203" s="81"/>
      <c r="Z203" s="81"/>
      <c r="AA203" s="86"/>
      <c r="AB203" s="80"/>
      <c r="AC203" s="83"/>
      <c r="AD203" s="83"/>
      <c r="AE203" s="73"/>
      <c r="AF203" s="73"/>
      <c r="AG203" s="73"/>
      <c r="AH203" s="73"/>
      <c r="AI203" s="73"/>
      <c r="AJ203" s="25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3"/>
      <c r="CF203" s="73"/>
      <c r="CG203" s="73"/>
      <c r="CH203" s="73"/>
      <c r="CI203" s="83"/>
      <c r="CJ203" s="83"/>
      <c r="CK203" s="83"/>
      <c r="CL203" s="74"/>
      <c r="CM203" s="83"/>
      <c r="CN203" s="83"/>
      <c r="CO203" s="82"/>
      <c r="CP203" s="73"/>
      <c r="CQ203" s="73"/>
      <c r="CR203" s="83"/>
      <c r="CS203" s="83"/>
      <c r="CT203" s="83"/>
      <c r="CU203" s="83"/>
      <c r="CV203" s="83"/>
      <c r="CW203" s="83"/>
      <c r="CX203" s="83"/>
      <c r="CY203" s="83"/>
      <c r="CZ203" s="83"/>
      <c r="DA203" s="83"/>
      <c r="DB203" s="83"/>
      <c r="DC203" s="83"/>
      <c r="DD203" s="83"/>
      <c r="DE203" s="83"/>
      <c r="DF203" s="83"/>
      <c r="DG203" s="83"/>
      <c r="DH203" s="83"/>
      <c r="DI203" s="83"/>
      <c r="DJ203" s="83"/>
      <c r="DK203" s="83"/>
      <c r="DL203" s="83"/>
      <c r="DM203" s="83"/>
      <c r="DN203" s="87"/>
      <c r="DO203" s="76"/>
      <c r="DP203" s="77"/>
      <c r="DQ203" s="83"/>
      <c r="DR203" s="82"/>
      <c r="DS203" s="83"/>
      <c r="DT203" s="82"/>
      <c r="DU203" s="82"/>
      <c r="DV203" s="82"/>
      <c r="DW203" s="82"/>
      <c r="DX203" s="73"/>
    </row>
    <row r="204" spans="1:129">
      <c r="A204" s="78"/>
      <c r="B204" s="78"/>
      <c r="C204" s="78"/>
      <c r="D204" s="78"/>
      <c r="E204" s="79"/>
      <c r="F204" s="79"/>
      <c r="G204" s="79"/>
      <c r="H204" s="79"/>
      <c r="I204" s="78"/>
      <c r="J204" s="78"/>
      <c r="K204" s="79"/>
      <c r="L204" s="79"/>
      <c r="M204" s="79"/>
      <c r="N204" s="79"/>
      <c r="O204" s="79"/>
      <c r="P204" s="79"/>
      <c r="Q204" s="79"/>
      <c r="R204" s="79"/>
      <c r="S204" s="79"/>
      <c r="T204" s="80"/>
      <c r="U204" s="80"/>
      <c r="V204" s="80"/>
      <c r="W204" s="68"/>
      <c r="X204" s="68"/>
      <c r="Y204" s="81"/>
      <c r="Z204" s="81"/>
      <c r="AA204" s="86"/>
      <c r="AB204" s="80"/>
      <c r="AC204" s="83"/>
      <c r="AD204" s="83"/>
      <c r="AE204" s="73"/>
      <c r="AF204" s="73"/>
      <c r="AG204" s="73"/>
      <c r="AH204" s="73"/>
      <c r="AI204" s="73"/>
      <c r="AJ204" s="25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3"/>
      <c r="CF204" s="73"/>
      <c r="CG204" s="73"/>
      <c r="CH204" s="73"/>
      <c r="CI204" s="83"/>
      <c r="CJ204" s="83"/>
      <c r="CK204" s="83"/>
      <c r="CL204" s="74"/>
      <c r="CM204" s="83"/>
      <c r="CN204" s="83"/>
      <c r="CO204" s="82"/>
      <c r="CP204" s="73"/>
      <c r="CQ204" s="73"/>
      <c r="CR204" s="83"/>
      <c r="CS204" s="83"/>
      <c r="CT204" s="83"/>
      <c r="CU204" s="83"/>
      <c r="CV204" s="83"/>
      <c r="CW204" s="83"/>
      <c r="CX204" s="83"/>
      <c r="CY204" s="83"/>
      <c r="CZ204" s="83"/>
      <c r="DA204" s="83"/>
      <c r="DB204" s="83"/>
      <c r="DC204" s="83"/>
      <c r="DD204" s="83"/>
      <c r="DE204" s="83"/>
      <c r="DF204" s="83"/>
      <c r="DG204" s="83"/>
      <c r="DH204" s="83"/>
      <c r="DI204" s="83"/>
      <c r="DJ204" s="83"/>
      <c r="DK204" s="83"/>
      <c r="DL204" s="83"/>
      <c r="DM204" s="83"/>
      <c r="DN204" s="87"/>
      <c r="DO204" s="76"/>
      <c r="DP204" s="77"/>
      <c r="DQ204" s="83"/>
      <c r="DR204" s="82"/>
      <c r="DS204" s="83"/>
      <c r="DT204" s="82"/>
      <c r="DU204" s="82"/>
      <c r="DV204" s="82"/>
      <c r="DW204" s="82"/>
      <c r="DX204" s="73"/>
    </row>
    <row r="205" spans="1:129">
      <c r="A205" s="78"/>
      <c r="B205" s="78"/>
      <c r="C205" s="78"/>
      <c r="D205" s="78"/>
      <c r="E205" s="79"/>
      <c r="F205" s="79"/>
      <c r="G205" s="79"/>
      <c r="H205" s="79"/>
      <c r="I205" s="78"/>
      <c r="J205" s="78"/>
      <c r="K205" s="79"/>
      <c r="L205" s="79"/>
      <c r="M205" s="79"/>
      <c r="N205" s="79"/>
      <c r="O205" s="79"/>
      <c r="P205" s="79"/>
      <c r="Q205" s="79"/>
      <c r="R205" s="79"/>
      <c r="S205" s="79"/>
      <c r="T205" s="80"/>
      <c r="U205" s="80"/>
      <c r="V205" s="80"/>
      <c r="W205" s="68"/>
      <c r="X205" s="68"/>
      <c r="Y205" s="88"/>
      <c r="Z205" s="81"/>
      <c r="AA205" s="86"/>
      <c r="AB205" s="80"/>
      <c r="AC205" s="83"/>
      <c r="AD205" s="83"/>
      <c r="AE205" s="73"/>
      <c r="AF205" s="73"/>
      <c r="AG205" s="73"/>
      <c r="AH205" s="73"/>
      <c r="AI205" s="73"/>
      <c r="AJ205" s="25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3"/>
      <c r="CF205" s="73"/>
      <c r="CG205" s="73"/>
      <c r="CH205" s="73"/>
      <c r="CI205" s="83"/>
      <c r="CJ205" s="83"/>
      <c r="CK205" s="83"/>
      <c r="CL205" s="74"/>
      <c r="CM205" s="83"/>
      <c r="CN205" s="83"/>
      <c r="CO205" s="82"/>
      <c r="CP205" s="73"/>
      <c r="CQ205" s="73"/>
      <c r="CR205" s="83"/>
      <c r="CS205" s="83"/>
      <c r="CT205" s="83"/>
      <c r="CU205" s="83"/>
      <c r="CV205" s="83"/>
      <c r="CW205" s="83"/>
      <c r="CX205" s="83"/>
      <c r="CY205" s="83"/>
      <c r="CZ205" s="83"/>
      <c r="DA205" s="83"/>
      <c r="DB205" s="83"/>
      <c r="DC205" s="83"/>
      <c r="DD205" s="83"/>
      <c r="DE205" s="83"/>
      <c r="DF205" s="83"/>
      <c r="DG205" s="83"/>
      <c r="DH205" s="83"/>
      <c r="DI205" s="83"/>
      <c r="DJ205" s="83"/>
      <c r="DK205" s="83"/>
      <c r="DL205" s="83"/>
      <c r="DM205" s="83"/>
      <c r="DN205" s="87"/>
      <c r="DO205" s="76"/>
      <c r="DP205" s="77"/>
      <c r="DQ205" s="83"/>
      <c r="DR205" s="82"/>
      <c r="DS205" s="83"/>
      <c r="DT205" s="82"/>
      <c r="DU205" s="82"/>
      <c r="DV205" s="82"/>
      <c r="DW205" s="82"/>
      <c r="DX205" s="73"/>
    </row>
    <row r="206" spans="1:129">
      <c r="A206" s="84"/>
      <c r="B206" s="84"/>
      <c r="C206" s="84"/>
      <c r="D206" s="84"/>
      <c r="E206" s="89"/>
      <c r="F206" s="89"/>
      <c r="G206" s="89"/>
      <c r="H206" s="89"/>
      <c r="I206" s="84"/>
      <c r="J206" s="84"/>
      <c r="K206" s="89"/>
      <c r="L206" s="89"/>
      <c r="M206" s="404"/>
      <c r="N206" s="89"/>
      <c r="O206" s="89"/>
      <c r="P206" s="89"/>
      <c r="Q206" s="89"/>
      <c r="R206" s="89"/>
      <c r="S206" s="89"/>
      <c r="T206" s="85"/>
      <c r="U206" s="85"/>
      <c r="V206" s="85"/>
      <c r="W206" s="10"/>
      <c r="X206" s="10"/>
      <c r="Z206" s="88"/>
      <c r="AA206" s="91"/>
      <c r="AB206" s="91"/>
      <c r="AC206" s="92"/>
      <c r="AD206" s="92"/>
      <c r="AE206" s="93"/>
      <c r="AF206" s="93"/>
      <c r="AG206" s="93"/>
      <c r="AH206" s="93"/>
      <c r="AI206" s="93"/>
      <c r="AJ206" s="253"/>
      <c r="AK206" s="308"/>
      <c r="AL206" s="308"/>
      <c r="AM206" s="308"/>
      <c r="AN206" s="308"/>
      <c r="AO206" s="308"/>
      <c r="AP206" s="308"/>
      <c r="AQ206" s="308"/>
      <c r="AR206" s="308"/>
      <c r="AS206" s="308"/>
      <c r="AT206" s="308"/>
      <c r="AU206" s="308"/>
      <c r="AV206" s="308"/>
      <c r="AW206" s="308"/>
      <c r="AX206" s="308"/>
      <c r="AY206" s="308"/>
      <c r="AZ206" s="308"/>
      <c r="BA206" s="308"/>
      <c r="BB206" s="308"/>
      <c r="BC206" s="308"/>
      <c r="BD206" s="308"/>
      <c r="BE206" s="308"/>
      <c r="BF206" s="308"/>
      <c r="BG206" s="308"/>
      <c r="BH206" s="308"/>
      <c r="BI206" s="308"/>
      <c r="BJ206" s="308"/>
      <c r="BK206" s="308"/>
      <c r="BL206" s="308"/>
      <c r="BM206" s="308"/>
      <c r="BN206" s="308"/>
      <c r="BO206" s="308"/>
      <c r="BP206" s="308"/>
      <c r="BQ206" s="308"/>
      <c r="BR206" s="308"/>
      <c r="BS206" s="308"/>
      <c r="BT206" s="308"/>
      <c r="BU206" s="308"/>
      <c r="BV206" s="308"/>
      <c r="BW206" s="308"/>
      <c r="BX206" s="308"/>
      <c r="BY206" s="308"/>
      <c r="BZ206" s="308"/>
      <c r="CA206" s="308"/>
      <c r="CB206" s="308"/>
      <c r="CC206" s="308"/>
      <c r="CD206" s="308"/>
      <c r="CE206" s="92"/>
      <c r="CF206" s="93"/>
      <c r="CG206" s="93"/>
      <c r="CH206" s="93"/>
      <c r="CI206" s="92"/>
      <c r="CJ206" s="92"/>
      <c r="CK206" s="92"/>
      <c r="CL206" s="94"/>
      <c r="CM206" s="92"/>
      <c r="CN206" s="92"/>
      <c r="CO206" s="95"/>
      <c r="CP206" s="93"/>
      <c r="CQ206" s="93"/>
      <c r="CR206" s="92"/>
      <c r="CS206" s="92"/>
      <c r="CT206" s="92"/>
      <c r="CU206" s="92"/>
      <c r="CV206" s="92"/>
      <c r="CW206" s="92"/>
      <c r="CX206" s="92"/>
      <c r="CY206" s="92"/>
      <c r="CZ206" s="92"/>
      <c r="DA206" s="92"/>
      <c r="DB206" s="92"/>
      <c r="DC206" s="92"/>
      <c r="DD206" s="92"/>
      <c r="DE206" s="92"/>
      <c r="DF206" s="92"/>
      <c r="DG206" s="92"/>
      <c r="DH206" s="92"/>
      <c r="DI206" s="92"/>
      <c r="DJ206" s="92"/>
      <c r="DK206" s="92"/>
      <c r="DL206" s="92"/>
      <c r="DM206" s="92"/>
      <c r="DN206" s="96"/>
      <c r="DO206" s="97"/>
      <c r="DP206" s="98"/>
      <c r="DQ206" s="92"/>
      <c r="DR206" s="95"/>
      <c r="DS206" s="92"/>
      <c r="DT206" s="95"/>
      <c r="DU206" s="95"/>
      <c r="DV206" s="95"/>
      <c r="DW206" s="95"/>
      <c r="DX206" s="108"/>
    </row>
    <row r="208" spans="1:129">
      <c r="AK208" s="102"/>
      <c r="AL208" s="102"/>
      <c r="AM208" s="102"/>
      <c r="AN208" s="102"/>
      <c r="AO208" s="102"/>
      <c r="AP208" s="102"/>
      <c r="AQ208" s="102"/>
      <c r="AR208" s="102"/>
      <c r="AS208" s="102"/>
      <c r="AT208" s="102"/>
      <c r="AU208" s="102"/>
      <c r="AV208" s="102"/>
      <c r="AW208" s="102"/>
      <c r="AX208" s="102"/>
      <c r="AY208" s="102"/>
      <c r="AZ208" s="102"/>
      <c r="BA208" s="102"/>
      <c r="BB208" s="102"/>
      <c r="BC208" s="102"/>
      <c r="BD208" s="102"/>
      <c r="BE208" s="102"/>
      <c r="BF208" s="102"/>
      <c r="BG208" s="102"/>
      <c r="BH208" s="102"/>
      <c r="BI208" s="102"/>
      <c r="BJ208" s="102"/>
      <c r="BK208" s="102"/>
      <c r="BL208" s="102"/>
      <c r="BM208" s="102"/>
      <c r="BN208" s="102"/>
      <c r="BO208" s="102"/>
      <c r="BP208" s="102"/>
      <c r="BQ208" s="102"/>
      <c r="BR208" s="102"/>
      <c r="BS208" s="102"/>
      <c r="BT208" s="102"/>
      <c r="BU208" s="102"/>
      <c r="BV208" s="102"/>
      <c r="BW208" s="102"/>
      <c r="BX208" s="102"/>
      <c r="BY208" s="102"/>
      <c r="BZ208" s="102"/>
      <c r="CA208" s="102"/>
      <c r="CB208" s="102"/>
      <c r="CC208" s="102"/>
      <c r="CD208" s="102"/>
      <c r="CE208" s="102">
        <f>SUBTOTAL(9,CE118:CE134)</f>
        <v>19000000</v>
      </c>
    </row>
  </sheetData>
  <autoFilter ref="A5:CF155"/>
  <mergeCells count="2">
    <mergeCell ref="A3:DX4"/>
    <mergeCell ref="A2:CD2"/>
  </mergeCells>
  <phoneticPr fontId="3" type="noConversion"/>
  <printOptions gridLines="1"/>
  <pageMargins left="0.196850393700787" right="0.196850393700787" top="0.31" bottom="0.22" header="0.22" footer="0.196850393700787"/>
  <pageSetup paperSize="8" scale="79" orientation="landscape" r:id="rId1"/>
  <headerFooter alignWithMargins="0">
    <oddFooter>Page &amp;P of &amp;N</oddFooter>
  </headerFooter>
  <rowBreaks count="1" manualBreakCount="1">
    <brk id="107" max="79" man="1"/>
  </rowBreaks>
  <colBreaks count="1" manualBreakCount="1">
    <brk id="82" max="154" man="1"/>
  </colBreaks>
</worksheet>
</file>

<file path=xl/worksheets/sheet2.xml><?xml version="1.0" encoding="utf-8"?>
<worksheet xmlns="http://schemas.openxmlformats.org/spreadsheetml/2006/main" xmlns:r="http://schemas.openxmlformats.org/officeDocument/2006/relationships">
  <sheetPr codeName="Sheet2">
    <pageSetUpPr fitToPage="1"/>
  </sheetPr>
  <dimension ref="A1:BA378"/>
  <sheetViews>
    <sheetView topLeftCell="A353" workbookViewId="0">
      <selection activeCell="J368" sqref="J368"/>
    </sheetView>
  </sheetViews>
  <sheetFormatPr defaultRowHeight="12.75"/>
  <cols>
    <col min="1" max="1" width="50.7109375" customWidth="1"/>
    <col min="2" max="2" width="12.5703125" style="244" hidden="1" customWidth="1"/>
    <col min="3" max="3" width="11.28515625" style="244" hidden="1" customWidth="1"/>
    <col min="4" max="4" width="12.85546875" style="245" hidden="1" customWidth="1"/>
    <col min="5" max="5" width="12.28515625" style="245" hidden="1" customWidth="1"/>
    <col min="6" max="6" width="12.5703125" style="245" hidden="1" customWidth="1"/>
    <col min="7" max="7" width="12" hidden="1" customWidth="1"/>
    <col min="8" max="8" width="12.42578125" customWidth="1"/>
    <col min="9" max="9" width="12.140625" customWidth="1"/>
    <col min="10" max="10" width="10.85546875" customWidth="1"/>
    <col min="11" max="14" width="12.42578125" hidden="1" customWidth="1"/>
    <col min="15" max="16" width="11.5703125" hidden="1" customWidth="1"/>
    <col min="17" max="20" width="12.42578125" hidden="1" customWidth="1"/>
    <col min="21" max="22" width="10.7109375" hidden="1" customWidth="1"/>
    <col min="23" max="24" width="11.140625" hidden="1" customWidth="1"/>
    <col min="25" max="32" width="12.42578125" hidden="1" customWidth="1"/>
    <col min="33" max="36" width="12.42578125" customWidth="1"/>
    <col min="37" max="38" width="12" customWidth="1"/>
    <col min="39" max="39" width="10.85546875" customWidth="1"/>
    <col min="40" max="41" width="12.7109375" hidden="1" customWidth="1"/>
    <col min="42" max="42" width="9.7109375" style="134" bestFit="1" customWidth="1"/>
    <col min="43" max="43" width="12.28515625" hidden="1" customWidth="1"/>
    <col min="44" max="44" width="4.85546875" style="135" hidden="1" customWidth="1"/>
    <col min="45" max="45" width="9" style="135" hidden="1" customWidth="1"/>
    <col min="46" max="46" width="12.5703125" style="331" hidden="1" customWidth="1"/>
    <col min="47" max="47" width="11.140625" style="331" hidden="1" customWidth="1"/>
    <col min="48" max="48" width="13.85546875" style="331" hidden="1" customWidth="1"/>
    <col min="49" max="49" width="6.140625" hidden="1" customWidth="1"/>
    <col min="50" max="51" width="0" hidden="1" customWidth="1"/>
  </cols>
  <sheetData>
    <row r="1" spans="1:49">
      <c r="A1" s="129" t="s">
        <v>454</v>
      </c>
      <c r="B1" s="130"/>
      <c r="C1" s="130"/>
      <c r="D1" s="131"/>
      <c r="E1" s="131"/>
      <c r="F1" s="131"/>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3"/>
      <c r="AO1" s="133"/>
      <c r="AQ1" s="133"/>
    </row>
    <row r="2" spans="1:49" hidden="1">
      <c r="A2" s="129"/>
      <c r="B2" s="136" t="s">
        <v>294</v>
      </c>
      <c r="C2" s="136"/>
      <c r="D2" s="137"/>
      <c r="E2" s="255" t="s">
        <v>427</v>
      </c>
      <c r="F2" s="255" t="s">
        <v>428</v>
      </c>
      <c r="G2" s="256"/>
      <c r="H2" s="256" t="s">
        <v>424</v>
      </c>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7" t="s">
        <v>425</v>
      </c>
      <c r="AO2" s="257" t="s">
        <v>426</v>
      </c>
      <c r="AQ2" s="257" t="s">
        <v>426</v>
      </c>
    </row>
    <row r="3" spans="1:49" ht="72">
      <c r="A3" s="138" t="s">
        <v>296</v>
      </c>
      <c r="B3" s="139" t="s">
        <v>298</v>
      </c>
      <c r="C3" s="139" t="s">
        <v>299</v>
      </c>
      <c r="D3" s="139" t="s">
        <v>300</v>
      </c>
      <c r="E3" s="139" t="s">
        <v>291</v>
      </c>
      <c r="F3" s="139" t="s">
        <v>292</v>
      </c>
      <c r="G3" s="141" t="s">
        <v>301</v>
      </c>
      <c r="H3" s="141" t="s">
        <v>616</v>
      </c>
      <c r="I3" s="452" t="s">
        <v>589</v>
      </c>
      <c r="J3" s="452" t="s">
        <v>590</v>
      </c>
      <c r="K3" s="452" t="s">
        <v>592</v>
      </c>
      <c r="L3" s="452" t="s">
        <v>593</v>
      </c>
      <c r="M3" s="452" t="s">
        <v>594</v>
      </c>
      <c r="N3" s="452" t="s">
        <v>595</v>
      </c>
      <c r="O3" s="452" t="s">
        <v>596</v>
      </c>
      <c r="P3" s="452" t="s">
        <v>597</v>
      </c>
      <c r="Q3" s="452" t="s">
        <v>598</v>
      </c>
      <c r="R3" s="452" t="s">
        <v>599</v>
      </c>
      <c r="S3" s="452" t="s">
        <v>600</v>
      </c>
      <c r="T3" s="452" t="s">
        <v>601</v>
      </c>
      <c r="U3" s="452" t="s">
        <v>603</v>
      </c>
      <c r="V3" s="452" t="s">
        <v>604</v>
      </c>
      <c r="W3" s="452" t="s">
        <v>605</v>
      </c>
      <c r="X3" s="452" t="s">
        <v>606</v>
      </c>
      <c r="Y3" s="452" t="s">
        <v>607</v>
      </c>
      <c r="Z3" s="452" t="s">
        <v>608</v>
      </c>
      <c r="AA3" s="452" t="s">
        <v>610</v>
      </c>
      <c r="AB3" s="452" t="s">
        <v>609</v>
      </c>
      <c r="AC3" s="452" t="s">
        <v>611</v>
      </c>
      <c r="AD3" s="452" t="s">
        <v>612</v>
      </c>
      <c r="AE3" s="452" t="s">
        <v>613</v>
      </c>
      <c r="AF3" s="452" t="s">
        <v>614</v>
      </c>
      <c r="AG3" s="452" t="s">
        <v>203</v>
      </c>
      <c r="AH3" s="452" t="s">
        <v>618</v>
      </c>
      <c r="AI3" s="452" t="s">
        <v>220</v>
      </c>
      <c r="AJ3" s="452" t="s">
        <v>619</v>
      </c>
      <c r="AK3" s="452" t="s">
        <v>620</v>
      </c>
      <c r="AL3" s="452" t="s">
        <v>621</v>
      </c>
      <c r="AM3" s="452" t="s">
        <v>622</v>
      </c>
      <c r="AN3" s="140" t="s">
        <v>429</v>
      </c>
      <c r="AO3" s="140" t="s">
        <v>412</v>
      </c>
      <c r="AP3" s="142" t="s">
        <v>303</v>
      </c>
      <c r="AQ3" s="259" t="s">
        <v>423</v>
      </c>
    </row>
    <row r="4" spans="1:49" s="134" customFormat="1">
      <c r="A4" s="457"/>
      <c r="B4" s="458"/>
      <c r="C4" s="458"/>
      <c r="D4" s="458"/>
      <c r="E4" s="458"/>
      <c r="F4" s="458"/>
      <c r="G4" s="459"/>
      <c r="H4" s="459"/>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1"/>
      <c r="AO4" s="461"/>
      <c r="AP4" s="142"/>
      <c r="AQ4" s="462"/>
      <c r="AR4" s="143"/>
      <c r="AS4" s="143"/>
      <c r="AT4" s="290"/>
      <c r="AU4" s="290"/>
      <c r="AV4" s="290"/>
    </row>
    <row r="5" spans="1:49" s="146" customFormat="1">
      <c r="A5" s="144" t="s">
        <v>304</v>
      </c>
      <c r="B5" s="145">
        <f t="array" ref="B5">SUM(IF('2014-2017 Projects'!$AB$6:$AB$198="Own Funds",'2014-2017 Projects'!$AG$6:$AG$198,0))</f>
        <v>22378631.879999999</v>
      </c>
      <c r="C5" s="145">
        <f t="array" ref="C5">SUM(IF('2014-2017 Projects'!$AB$6:$AB$198="Own Funds",'2014-2017 Projects'!$AG$6:$AG$198,0))</f>
        <v>22378631.879999999</v>
      </c>
      <c r="D5" s="145">
        <f t="array" ref="D5">SUM(IF('2014-2017 Projects'!$AB$6:$AB$198="Own Funds",'2014-2017 Projects'!$AG$6:$AG$198,0))</f>
        <v>22378631.879999999</v>
      </c>
      <c r="E5" s="145">
        <f t="array" ref="E5">SUM(IF('2014-2017 Projects'!$AB$6:$AB$198="Own Funds",'2014-2017 Projects'!$AH$6:$AH$198,0))</f>
        <v>30084305</v>
      </c>
      <c r="F5" s="145">
        <f t="array" ref="F5">SUM(IF('2014-2017 Projects'!$AB$6:$AB$198="Own Funds",'2014-2017 Projects'!$AI$6:$AI$198,0))</f>
        <v>52462936.879999995</v>
      </c>
      <c r="G5" s="145"/>
      <c r="H5" s="145">
        <f t="array" ref="H5">SUM(IF('2014-2017 Projects'!$AB$6:$AB$157="Own Funds",'2014-2017 Projects'!$AK$6:$AK$157,0))</f>
        <v>241225697</v>
      </c>
      <c r="I5" s="145">
        <f t="array" ref="I5">SUM(IF('2014-2017 Projects'!$AB$6:$AB$157="Own Funds",'2014-2017 Projects'!$AL$6:$AL$157,0))</f>
        <v>20176.95</v>
      </c>
      <c r="J5" s="145">
        <f t="array" ref="J5">SUM(IF('2014-2017 Projects'!$AB$6:$AB$157="Own Funds",'2014-2017 Projects'!$AN$6:$AN$157,0))</f>
        <v>20176.95</v>
      </c>
      <c r="K5" s="145"/>
      <c r="L5" s="145"/>
      <c r="M5" s="145"/>
      <c r="N5" s="145"/>
      <c r="O5" s="145"/>
      <c r="P5" s="145"/>
      <c r="Q5" s="145"/>
      <c r="R5" s="145"/>
      <c r="S5" s="145"/>
      <c r="T5" s="145"/>
      <c r="U5" s="145"/>
      <c r="V5" s="145"/>
      <c r="W5" s="145"/>
      <c r="X5" s="145"/>
      <c r="Y5" s="145"/>
      <c r="Z5" s="145"/>
      <c r="AA5" s="145"/>
      <c r="AB5" s="145"/>
      <c r="AC5" s="145"/>
      <c r="AD5" s="145"/>
      <c r="AE5" s="145"/>
      <c r="AF5" s="145"/>
      <c r="AG5" s="145">
        <f t="array" ref="AG5">SUM(IF('2014-2017 Projects'!$AB$6:$AB$157="Own Funds",'2014-2017 Projects'!$BW$6:$BW$157,0))</f>
        <v>20176.95</v>
      </c>
      <c r="AH5" s="145">
        <f t="array" ref="AH5">SUM(IF('2014-2017 Projects'!$AB$6:$AB$157="Own Funds",'2014-2017 Projects'!$BX$6:$BX$157,0))</f>
        <v>20176.95</v>
      </c>
      <c r="AI5" s="145">
        <f t="array" ref="AI5">SUM(IF('2014-2017 Projects'!$AB$6:$AB$157="Own Funds",'2014-2017 Projects'!$BV$6:$BV$157,0))</f>
        <v>1059270.1499999999</v>
      </c>
      <c r="AJ5" s="145">
        <f>H5-AG5</f>
        <v>241205520.05000001</v>
      </c>
      <c r="AK5" s="145">
        <f>H5-AH5</f>
        <v>241205520.05000001</v>
      </c>
      <c r="AL5" s="453">
        <f>AG5/H5</f>
        <v>8.3643451966064792E-5</v>
      </c>
      <c r="AM5" s="453">
        <f>AH5/H5</f>
        <v>8.3643451966064792E-5</v>
      </c>
      <c r="AN5" s="145">
        <f t="array" ref="AN5">SUM(IF('2014-2017 Projects'!$AB$6:$AB$157="Own Funds",'2014-2017 Projects'!$CE$6:$CE$157,0))</f>
        <v>258870661</v>
      </c>
      <c r="AO5" s="145">
        <f t="array" ref="AO5">SUM(IF('2014-2017 Projects'!$AB$6:$AB$157="Own Funds",'2014-2017 Projects'!$CF$6:$CF$157,0))</f>
        <v>274555051</v>
      </c>
      <c r="AP5" s="146" t="s">
        <v>305</v>
      </c>
      <c r="AQ5" s="260"/>
      <c r="AR5" s="143"/>
      <c r="AS5" s="143" t="s">
        <v>8</v>
      </c>
      <c r="AT5" s="290">
        <v>255845288</v>
      </c>
      <c r="AU5" s="290">
        <v>261320661</v>
      </c>
      <c r="AV5" s="290">
        <v>276905051</v>
      </c>
    </row>
    <row r="6" spans="1:49" s="146" customFormat="1" ht="13.5" thickBot="1">
      <c r="A6" s="147" t="s">
        <v>306</v>
      </c>
      <c r="B6" s="148"/>
      <c r="C6" s="148"/>
      <c r="D6" s="148">
        <f t="shared" ref="D6:AO6" si="0">SUM(D5:D5)</f>
        <v>22378631.879999999</v>
      </c>
      <c r="E6" s="148">
        <f t="shared" si="0"/>
        <v>30084305</v>
      </c>
      <c r="F6" s="148">
        <f t="shared" si="0"/>
        <v>52462936.879999995</v>
      </c>
      <c r="G6" s="148">
        <f t="shared" si="0"/>
        <v>0</v>
      </c>
      <c r="H6" s="148">
        <f t="shared" si="0"/>
        <v>241225697</v>
      </c>
      <c r="I6" s="148">
        <f t="shared" si="0"/>
        <v>20176.95</v>
      </c>
      <c r="J6" s="148">
        <f t="shared" si="0"/>
        <v>20176.95</v>
      </c>
      <c r="K6" s="148">
        <f t="shared" si="0"/>
        <v>0</v>
      </c>
      <c r="L6" s="148">
        <f t="shared" si="0"/>
        <v>0</v>
      </c>
      <c r="M6" s="148">
        <f t="shared" si="0"/>
        <v>0</v>
      </c>
      <c r="N6" s="148">
        <f t="shared" si="0"/>
        <v>0</v>
      </c>
      <c r="O6" s="148">
        <f t="shared" si="0"/>
        <v>0</v>
      </c>
      <c r="P6" s="148">
        <f t="shared" si="0"/>
        <v>0</v>
      </c>
      <c r="Q6" s="148">
        <f t="shared" si="0"/>
        <v>0</v>
      </c>
      <c r="R6" s="148">
        <f t="shared" si="0"/>
        <v>0</v>
      </c>
      <c r="S6" s="148">
        <f t="shared" si="0"/>
        <v>0</v>
      </c>
      <c r="T6" s="148">
        <f t="shared" si="0"/>
        <v>0</v>
      </c>
      <c r="U6" s="148">
        <f t="shared" si="0"/>
        <v>0</v>
      </c>
      <c r="V6" s="148">
        <f t="shared" si="0"/>
        <v>0</v>
      </c>
      <c r="W6" s="148">
        <f t="shared" si="0"/>
        <v>0</v>
      </c>
      <c r="X6" s="148">
        <f t="shared" si="0"/>
        <v>0</v>
      </c>
      <c r="Y6" s="148">
        <f t="shared" si="0"/>
        <v>0</v>
      </c>
      <c r="Z6" s="148">
        <f t="shared" si="0"/>
        <v>0</v>
      </c>
      <c r="AA6" s="148">
        <f t="shared" si="0"/>
        <v>0</v>
      </c>
      <c r="AB6" s="148">
        <f t="shared" si="0"/>
        <v>0</v>
      </c>
      <c r="AC6" s="148">
        <f t="shared" si="0"/>
        <v>0</v>
      </c>
      <c r="AD6" s="148">
        <f t="shared" si="0"/>
        <v>0</v>
      </c>
      <c r="AE6" s="148">
        <f t="shared" si="0"/>
        <v>0</v>
      </c>
      <c r="AF6" s="148">
        <f t="shared" si="0"/>
        <v>0</v>
      </c>
      <c r="AG6" s="148">
        <f t="shared" si="0"/>
        <v>20176.95</v>
      </c>
      <c r="AH6" s="148">
        <f t="shared" si="0"/>
        <v>20176.95</v>
      </c>
      <c r="AI6" s="148">
        <f t="shared" si="0"/>
        <v>1059270.1499999999</v>
      </c>
      <c r="AJ6" s="148">
        <f t="shared" si="0"/>
        <v>241205520.05000001</v>
      </c>
      <c r="AK6" s="148">
        <f t="shared" si="0"/>
        <v>241205520.05000001</v>
      </c>
      <c r="AL6" s="455">
        <f t="shared" ref="AL6:AL16" si="1">AG6/H6</f>
        <v>8.3643451966064792E-5</v>
      </c>
      <c r="AM6" s="455">
        <f t="shared" ref="AM6:AM16" si="2">AH6/H6</f>
        <v>8.3643451966064792E-5</v>
      </c>
      <c r="AN6" s="148">
        <f t="shared" si="0"/>
        <v>258870661</v>
      </c>
      <c r="AO6" s="148">
        <f t="shared" si="0"/>
        <v>274555051</v>
      </c>
      <c r="AQ6" s="261"/>
      <c r="AR6" s="143"/>
      <c r="AS6" s="143"/>
      <c r="AT6" s="385">
        <f>+H5-AT5</f>
        <v>-14619591</v>
      </c>
      <c r="AU6" s="385">
        <f>+AN5-AU5</f>
        <v>-2450000</v>
      </c>
      <c r="AV6" s="385">
        <f>+AO5-AV5</f>
        <v>-2350000</v>
      </c>
    </row>
    <row r="7" spans="1:49" s="146" customFormat="1" ht="13.5" thickTop="1">
      <c r="A7" s="144" t="s">
        <v>16</v>
      </c>
      <c r="B7" s="150">
        <f t="array" ref="B7">SUM(IF('2014-2017 Projects'!$AB$6:$AB$198="DoE(Intergrated National Electrification Programme)",'2014-2017 Projects'!$AG$6:$AG$198,0))</f>
        <v>0</v>
      </c>
      <c r="C7" s="150">
        <f t="array" ref="C7">SUM(IF('2014-2017 Projects'!$AB$6:$AB$198="DoE(Intergrated National Electrification Programme)",'2014-2017 Projects'!$AG$6:$AG$198,0))</f>
        <v>0</v>
      </c>
      <c r="D7" s="150">
        <f t="array" ref="D7">SUM(IF('2014-2017 Projects'!$AB$6:$AB$198="DoE(Intergrated National Electrification Programme)",'2014-2017 Projects'!$AG$6:$AG$198,0))</f>
        <v>0</v>
      </c>
      <c r="E7" s="150">
        <f t="array" ref="E7">SUM(IF('2014-2017 Projects'!$AB$6:$AB$198="DoE(Intergrated National Electrification Programme)",'2014-2017 Projects'!$AH$6:$AH$198,0))</f>
        <v>0</v>
      </c>
      <c r="F7" s="150">
        <f t="array" ref="F7">SUM(IF('2014-2017 Projects'!$AB$6:$AB$198="DoE(Intergrated National Electrification Programme)",'2014-2017 Projects'!$AI$6:$AI$198,0))</f>
        <v>0</v>
      </c>
      <c r="G7" s="150"/>
      <c r="H7" s="150">
        <f t="array" ref="H7">SUM(IF('2014-2017 Projects'!$AB$6:$AB$157="DoE(Intergrated National Electrification Programme)",'2014-2017 Projects'!$AK$6:$AK$157,0))</f>
        <v>27000000</v>
      </c>
      <c r="I7" s="150">
        <f t="array" ref="I7">SUM(IF('2014-2017 Projects'!$AB$6:$AB$157="DoE(Intergrated National Electrification Programme)",'2014-2017 Projects'!$AL$6:$AL$157,0))</f>
        <v>34346</v>
      </c>
      <c r="J7" s="150">
        <f t="array" ref="J7">SUM(IF('2014-2017 Projects'!$AB$6:$AB$157="DoE(Intergrated National Electrification Programme)",'2014-2017 Projects'!$AN$6:$AN$157,0))</f>
        <v>34346</v>
      </c>
      <c r="K7" s="150"/>
      <c r="L7" s="150"/>
      <c r="M7" s="150"/>
      <c r="N7" s="150"/>
      <c r="O7" s="150"/>
      <c r="P7" s="150"/>
      <c r="Q7" s="150"/>
      <c r="R7" s="150"/>
      <c r="S7" s="150"/>
      <c r="T7" s="150"/>
      <c r="U7" s="150"/>
      <c r="V7" s="150"/>
      <c r="W7" s="150"/>
      <c r="X7" s="150"/>
      <c r="Y7" s="150"/>
      <c r="Z7" s="150"/>
      <c r="AA7" s="150"/>
      <c r="AB7" s="150"/>
      <c r="AC7" s="150"/>
      <c r="AD7" s="150"/>
      <c r="AE7" s="150"/>
      <c r="AF7" s="150"/>
      <c r="AG7" s="150">
        <f t="array" ref="AG7">SUM(IF('2014-2017 Projects'!$AB$6:$AB$157="DoE(Intergrated National Electrification Programme)",'2014-2017 Projects'!$BW$6:$BW$157,0))</f>
        <v>34346</v>
      </c>
      <c r="AH7" s="150">
        <f t="array" ref="AH7">SUM(IF('2014-2017 Projects'!$AB$6:$AB$157="DoE(Intergrated National Electrification Programme)",'2014-2017 Projects'!$BX$6:$BX$157,0))</f>
        <v>34346</v>
      </c>
      <c r="AI7" s="150">
        <f t="array" ref="AI7">SUM(IF('2014-2017 Projects'!$AB$6:$AB$157="DoE(Intergrated National Electrification Programme)",'2014-2017 Projects'!$BV$6:$BV$157,0))</f>
        <v>0</v>
      </c>
      <c r="AJ7" s="145">
        <f t="shared" ref="AJ7:AJ13" si="3">H7-AG7</f>
        <v>26965654</v>
      </c>
      <c r="AK7" s="145">
        <f t="shared" ref="AK7:AK13" si="4">H7-AH7</f>
        <v>26965654</v>
      </c>
      <c r="AL7" s="454">
        <f t="shared" si="1"/>
        <v>1.2720740740740741E-3</v>
      </c>
      <c r="AM7" s="454">
        <f t="shared" si="2"/>
        <v>1.2720740740740741E-3</v>
      </c>
      <c r="AN7" s="150">
        <f t="array" ref="AN7">SUM(IF('2014-2017 Projects'!$AB$6:$AB$157="DoE(Intergrated National Electrification Programme)",'2014-2017 Projects'!$CE$6:$CE$157,0))</f>
        <v>27000000</v>
      </c>
      <c r="AO7" s="150">
        <f t="array" ref="AO7">SUM(IF('2014-2017 Projects'!$AB$6:$AB$157="DoE(Intergrated National Electrification Programme)",'2014-2017 Projects'!$CF$6:$CF$157,0))</f>
        <v>12000000</v>
      </c>
      <c r="AP7" s="146" t="s">
        <v>295</v>
      </c>
      <c r="AQ7" s="262"/>
      <c r="AR7" s="143"/>
      <c r="AS7" s="143" t="s">
        <v>295</v>
      </c>
      <c r="AT7" s="290"/>
      <c r="AU7" s="290"/>
      <c r="AV7" s="290"/>
    </row>
    <row r="8" spans="1:49" s="146" customFormat="1">
      <c r="A8" s="144" t="s">
        <v>566</v>
      </c>
      <c r="B8" s="150"/>
      <c r="C8" s="150"/>
      <c r="D8" s="150"/>
      <c r="E8" s="150"/>
      <c r="F8" s="150"/>
      <c r="G8" s="150"/>
      <c r="H8" s="145">
        <f t="array" ref="H8">SUM(IF('2014-2017 Projects'!$AB$6:$AB$157="LGTH",'2014-2017 Projects'!$AK$6:$AK$157,0))</f>
        <v>188726</v>
      </c>
      <c r="I8" s="145">
        <f t="array" ref="I8">SUM(IF('2014-2017 Projects'!$AB$6:$AB$157="LGTH",'2014-2017 Projects'!$AL$6:$AL$157,0))</f>
        <v>0</v>
      </c>
      <c r="J8" s="145">
        <f t="array" ref="J8">SUM(IF('2014-2017 Projects'!$AB$6:$AB$157="LGTH",'2014-2017 Projects'!$AN$6:$AN$157,0))</f>
        <v>0</v>
      </c>
      <c r="K8" s="145"/>
      <c r="L8" s="145"/>
      <c r="M8" s="145"/>
      <c r="N8" s="145"/>
      <c r="O8" s="145"/>
      <c r="P8" s="145"/>
      <c r="Q8" s="145"/>
      <c r="R8" s="145"/>
      <c r="S8" s="145"/>
      <c r="T8" s="145"/>
      <c r="U8" s="145"/>
      <c r="V8" s="145"/>
      <c r="W8" s="145"/>
      <c r="X8" s="145"/>
      <c r="Y8" s="145"/>
      <c r="Z8" s="145"/>
      <c r="AA8" s="145"/>
      <c r="AB8" s="145"/>
      <c r="AC8" s="145"/>
      <c r="AD8" s="145"/>
      <c r="AE8" s="145"/>
      <c r="AF8" s="145"/>
      <c r="AG8" s="145">
        <f t="array" ref="AG8">SUM(IF('2014-2017 Projects'!$AB$6:$AB$157="LGTH",'2014-2017 Projects'!$BW$6:$BW$157,0))</f>
        <v>0</v>
      </c>
      <c r="AH8" s="145">
        <f t="array" ref="AH8">SUM(IF('2014-2017 Projects'!$AB$6:$AB$157="LGTH",'2014-2017 Projects'!$BX$6:$BX$157,0))</f>
        <v>0</v>
      </c>
      <c r="AI8" s="145">
        <f t="array" ref="AI8">SUM(IF('2014-2017 Projects'!$AB$6:$AB$157="LGTH",'2014-2017 Projects'!$BV$6:$BV$157,0))</f>
        <v>178611.95</v>
      </c>
      <c r="AJ8" s="145">
        <f t="shared" si="3"/>
        <v>188726</v>
      </c>
      <c r="AK8" s="145">
        <f t="shared" si="4"/>
        <v>188726</v>
      </c>
      <c r="AL8" s="453">
        <f t="shared" si="1"/>
        <v>0</v>
      </c>
      <c r="AM8" s="453">
        <f t="shared" si="2"/>
        <v>0</v>
      </c>
      <c r="AN8" s="145">
        <f t="array" ref="AN8">SUM(IF('2014-2017 Projects'!$AB$6:$AB$157="LGTH",'2014-2017 Projects'!$CE$6:$CE$157,0))</f>
        <v>0</v>
      </c>
      <c r="AO8" s="145">
        <f t="array" ref="AO8">SUM(IF('2014-2017 Projects'!$AB$6:$AB$157="LGTH",'2014-2017 Projects'!$CF$6:$CF$157,0))</f>
        <v>0</v>
      </c>
      <c r="AP8" s="146" t="s">
        <v>311</v>
      </c>
      <c r="AQ8" s="262"/>
      <c r="AR8" s="143"/>
      <c r="AS8" s="143" t="s">
        <v>311</v>
      </c>
      <c r="AT8" s="290"/>
      <c r="AU8" s="290"/>
      <c r="AV8" s="290"/>
    </row>
    <row r="9" spans="1:49" s="146" customFormat="1">
      <c r="A9" s="144" t="s">
        <v>307</v>
      </c>
      <c r="B9" s="145">
        <f t="array" ref="B9">SUM(IF('2014-2017 Projects'!$AB$6:$AB$198="ISDG",'2014-2017 Projects'!$AG$6:$AG$198,0))</f>
        <v>100000</v>
      </c>
      <c r="C9" s="145">
        <f t="array" ref="C9">SUM(IF('2014-2017 Projects'!$AB$6:$AB$198="ISDG",'2014-2017 Projects'!$AG$6:$AG$198,0))</f>
        <v>100000</v>
      </c>
      <c r="D9" s="145">
        <f t="array" ref="D9">SUM(IF('2014-2017 Projects'!$AB$6:$AB$198="ISDG",'2014-2017 Projects'!$AG$6:$AG$198,0))</f>
        <v>100000</v>
      </c>
      <c r="E9" s="145">
        <f t="array" ref="E9">SUM(IF('2014-2017 Projects'!$AB$6:$AB$198="ISDG",'2014-2017 Projects'!$AH$6:$AH$198,0))</f>
        <v>0</v>
      </c>
      <c r="F9" s="145">
        <f t="array" ref="F9">SUM(IF('2014-2017 Projects'!$AB$6:$AB$198="ISDG",'2014-2017 Projects'!$AI$6:$AI$198,0))</f>
        <v>100000</v>
      </c>
      <c r="G9" s="145"/>
      <c r="H9" s="145">
        <f t="array" ref="H9">SUM(IF('2014-2017 Projects'!$AB$6:$AB$157="ISDG",'2014-2017 Projects'!$AK$6:$AK$157,0))</f>
        <v>100000</v>
      </c>
      <c r="I9" s="145">
        <f t="array" ref="I9">SUM(IF('2014-2017 Projects'!$AB$6:$AB$157="ISDG",'2014-2017 Projects'!$AL$6:$AL$157,0))</f>
        <v>0</v>
      </c>
      <c r="J9" s="145">
        <f t="array" ref="J9">SUM(IF('2014-2017 Projects'!$AB$6:$AB$157="ISDG",'2014-2017 Projects'!$AN$6:$AN$157,0))</f>
        <v>0</v>
      </c>
      <c r="K9" s="145"/>
      <c r="L9" s="145"/>
      <c r="M9" s="145"/>
      <c r="N9" s="145"/>
      <c r="O9" s="145"/>
      <c r="P9" s="145"/>
      <c r="Q9" s="145"/>
      <c r="R9" s="145"/>
      <c r="S9" s="145"/>
      <c r="T9" s="145"/>
      <c r="U9" s="145"/>
      <c r="V9" s="145"/>
      <c r="W9" s="145"/>
      <c r="X9" s="145"/>
      <c r="Y9" s="145"/>
      <c r="Z9" s="145"/>
      <c r="AA9" s="145"/>
      <c r="AB9" s="145"/>
      <c r="AC9" s="145"/>
      <c r="AD9" s="145"/>
      <c r="AE9" s="145"/>
      <c r="AF9" s="145"/>
      <c r="AG9" s="145">
        <f t="array" ref="AG9">SUM(IF('2014-2017 Projects'!$AB$6:$AB$157="ISDG",'2014-2017 Projects'!$BW$6:$BW$157,0))</f>
        <v>0</v>
      </c>
      <c r="AH9" s="145">
        <f t="array" ref="AH9">SUM(IF('2014-2017 Projects'!$AB$6:$AB$157="ISDG",'2014-2017 Projects'!$BX$6:$BX$157,0))</f>
        <v>0</v>
      </c>
      <c r="AI9" s="145">
        <f t="array" ref="AI9">SUM(IF('2014-2017 Projects'!$AB$6:$AB$157="ISDG",'2014-2017 Projects'!$BV$6:$BV$157,0))</f>
        <v>0</v>
      </c>
      <c r="AJ9" s="145">
        <f t="shared" si="3"/>
        <v>100000</v>
      </c>
      <c r="AK9" s="145">
        <f t="shared" si="4"/>
        <v>100000</v>
      </c>
      <c r="AL9" s="453">
        <f t="shared" si="1"/>
        <v>0</v>
      </c>
      <c r="AM9" s="453">
        <f t="shared" si="2"/>
        <v>0</v>
      </c>
      <c r="AN9" s="145">
        <f t="array" ref="AN9">SUM(IF('2014-2017 Projects'!$AB$6:$AB$198="ISDG",'2014-2017 Projects'!$CE$6:$CE$198,0))</f>
        <v>100000</v>
      </c>
      <c r="AO9" s="145">
        <f t="array" ref="AO9">SUM(IF('2014-2017 Projects'!$AB$6:$AB$198="ISDG",'2014-2017 Projects'!$CF$6:$CF$198,0))</f>
        <v>0</v>
      </c>
      <c r="AP9" s="146" t="s">
        <v>295</v>
      </c>
      <c r="AQ9" s="260"/>
      <c r="AR9" s="143"/>
      <c r="AS9" s="143" t="s">
        <v>295</v>
      </c>
      <c r="AT9" s="290"/>
      <c r="AU9" s="290"/>
      <c r="AV9" s="290"/>
    </row>
    <row r="10" spans="1:49" s="146" customFormat="1" ht="10.9" customHeight="1">
      <c r="A10" s="144" t="s">
        <v>308</v>
      </c>
      <c r="B10" s="145">
        <f t="array" ref="B10">SUM(IF('2014-2017 Projects'!$AB$6:$AB$198="NDPG",'2014-2017 Projects'!$AG$6:$AG$198,0))</f>
        <v>10000000</v>
      </c>
      <c r="C10" s="145">
        <f t="array" ref="C10">SUM(IF('2014-2017 Projects'!$AB$6:$AB$198="NDPG",'2014-2017 Projects'!$AG$6:$AG$198,0))</f>
        <v>10000000</v>
      </c>
      <c r="D10" s="145">
        <f t="array" ref="D10">SUM(IF('2014-2017 Projects'!$AB$6:$AB$198="NDPG",'2014-2017 Projects'!$AG$6:$AG$198,0))</f>
        <v>10000000</v>
      </c>
      <c r="E10" s="145">
        <f t="array" ref="E10">SUM(IF('2014-2017 Projects'!$AB$6:$AB$198="NDPG",'2014-2017 Projects'!$AH$6:$AH$198,0))</f>
        <v>-10000000</v>
      </c>
      <c r="F10" s="145">
        <f t="array" ref="F10">SUM(IF('2014-2017 Projects'!$AB$6:$AB$198="NDPG",'2014-2017 Projects'!$AI$6:$AI$198,0))</f>
        <v>0</v>
      </c>
      <c r="G10" s="145"/>
      <c r="H10" s="145">
        <f t="array" ref="H10">SUM(IF('2014-2017 Projects'!$AB$6:$AB$155="NDPG",'2014-2017 Projects'!$AK$6:$AK$155,0))</f>
        <v>5000000</v>
      </c>
      <c r="I10" s="145">
        <f t="array" ref="I10">SUM(IF('2014-2017 Projects'!$AB$6:$AB$155="NDPG",'2014-2017 Projects'!$AL$6:$AL$155,0))</f>
        <v>0</v>
      </c>
      <c r="J10" s="145">
        <f t="array" ref="J10">SUM(IF('2014-2017 Projects'!$AB$6:$AB$155="NDPG",'2014-2017 Projects'!$AN$6:$AN$155,0))</f>
        <v>0</v>
      </c>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f t="array" ref="AG10">SUM(IF('2014-2017 Projects'!$AB$6:$AB$155="NDPG",'2014-2017 Projects'!$BW$6:$BW$155,0))</f>
        <v>0</v>
      </c>
      <c r="AH10" s="145">
        <f t="array" ref="AH10">SUM(IF('2014-2017 Projects'!$AB$6:$AB$155="NDPG",'2014-2017 Projects'!$BX$6:$BX$155,0))</f>
        <v>0</v>
      </c>
      <c r="AI10" s="145">
        <f t="array" ref="AI10">SUM(IF('2014-2017 Projects'!$AB$6:$AB$155="NDPG",'2014-2017 Projects'!$BV$6:$BV$155,0))</f>
        <v>0</v>
      </c>
      <c r="AJ10" s="145">
        <f t="shared" si="3"/>
        <v>5000000</v>
      </c>
      <c r="AK10" s="145">
        <f t="shared" si="4"/>
        <v>5000000</v>
      </c>
      <c r="AL10" s="453">
        <f t="shared" si="1"/>
        <v>0</v>
      </c>
      <c r="AM10" s="453">
        <f t="shared" si="2"/>
        <v>0</v>
      </c>
      <c r="AN10" s="145">
        <f t="array" ref="AN10">SUM(IF('2014-2017 Projects'!$AB$6:$AB$155="NDPG",'2014-2017 Projects'!$CE$6:$CE$155,0))</f>
        <v>16878000</v>
      </c>
      <c r="AO10" s="145">
        <f t="array" ref="AO10">SUM(IF('2014-2017 Projects'!$AB$6:$AB$155="NDPG",'2014-2017 Projects'!$CF$6:$CF$155,0))</f>
        <v>17744000</v>
      </c>
      <c r="AP10" s="146" t="s">
        <v>295</v>
      </c>
      <c r="AQ10" s="260"/>
      <c r="AR10" s="143"/>
      <c r="AS10" s="143" t="s">
        <v>295</v>
      </c>
      <c r="AT10" s="290"/>
      <c r="AU10" s="290"/>
      <c r="AV10" s="290"/>
    </row>
    <row r="11" spans="1:49" s="146" customFormat="1" ht="13.5" customHeight="1">
      <c r="A11" s="151" t="s">
        <v>309</v>
      </c>
      <c r="B11" s="145">
        <f t="array" ref="B11">SUM(IF('2014-2017 Projects'!$AB$6:$AB$198="USDG ",'2014-2017 Projects'!$AG$6:$AG$198,0))</f>
        <v>228119983</v>
      </c>
      <c r="C11" s="145">
        <f t="array" ref="C11">SUM(IF('2014-2017 Projects'!$AB$6:$AB$198="USDG ",'2014-2017 Projects'!$AG$6:$AG$198,0))</f>
        <v>228119983</v>
      </c>
      <c r="D11" s="145">
        <f t="array" ref="D11">SUM(IF('2014-2017 Projects'!$AB$6:$AB$198="USDG ",'2014-2017 Projects'!$AG$6:$AG$198,0))</f>
        <v>228119983</v>
      </c>
      <c r="E11" s="145">
        <f t="array" ref="E11">SUM(IF('2014-2017 Projects'!$AB$6:$AB$198="USDG ",'2014-2017 Projects'!$AH$6:$AH$198,0))</f>
        <v>-7384413</v>
      </c>
      <c r="F11" s="145">
        <f t="array" ref="F11">SUM(IF('2014-2017 Projects'!$AB$6:$AB$198="USDG ",'2014-2017 Projects'!$AI$6:$AI$198,0))</f>
        <v>220735570</v>
      </c>
      <c r="G11" s="145"/>
      <c r="H11" s="145">
        <f t="array" ref="H11">SUM(IF('2014-2017 Projects'!$AB$6:$AB$155="USDG ",'2014-2017 Projects'!$AK$6:$AK$155,0))</f>
        <v>639824500</v>
      </c>
      <c r="I11" s="145">
        <f t="array" ref="I11">SUM(IF('2014-2017 Projects'!$AB$6:$AB$155="USDG ",'2014-2017 Projects'!$AL$6:$AL$155,0))</f>
        <v>1979773.1400000001</v>
      </c>
      <c r="J11" s="145">
        <f t="array" ref="J11">SUM(IF('2014-2017 Projects'!$AB$6:$AB$155="USDG ",'2014-2017 Projects'!$AN$6:$AN$155,0))</f>
        <v>2284192.3899999997</v>
      </c>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f t="array" ref="AG11">SUM(IF('2014-2017 Projects'!$AB$6:$AB$155="USDG ",'2014-2017 Projects'!$BW$6:$BW$155,0))</f>
        <v>1979773.1400000001</v>
      </c>
      <c r="AH11" s="145">
        <f t="array" ref="AH11">SUM(IF('2014-2017 Projects'!$AB$6:$AB$155="USDG ",'2014-2017 Projects'!$BX$6:$BX$155,0))</f>
        <v>2284192.3899999997</v>
      </c>
      <c r="AI11" s="145">
        <f t="array" ref="AI11">SUM(IF('2014-2017 Projects'!$AB$6:$AB$155="USDG ",'2014-2017 Projects'!$BV$6:$BV$155,0))</f>
        <v>3942797.27</v>
      </c>
      <c r="AJ11" s="145">
        <f t="shared" si="3"/>
        <v>637844726.86000001</v>
      </c>
      <c r="AK11" s="145">
        <f t="shared" si="4"/>
        <v>637540307.61000001</v>
      </c>
      <c r="AL11" s="453">
        <f t="shared" si="1"/>
        <v>3.0942440309803705E-3</v>
      </c>
      <c r="AM11" s="453">
        <f t="shared" si="2"/>
        <v>3.5700295784234577E-3</v>
      </c>
      <c r="AN11" s="145">
        <f t="array" ref="AN11">SUM(IF('2014-2017 Projects'!$AB$6:$AB$155="USDG ",'2014-2017 Projects'!$CE$6:$CE$155,0))</f>
        <v>663310100</v>
      </c>
      <c r="AO11" s="145">
        <f t="array" ref="AO11">SUM(IF('2014-2017 Projects'!$AB$6:$AB$155="USDG ",'2014-2017 Projects'!$CF$6:$CF$155,0))</f>
        <v>705627100</v>
      </c>
      <c r="AP11" s="146" t="s">
        <v>295</v>
      </c>
      <c r="AQ11" s="260"/>
      <c r="AR11" s="316" t="e">
        <f>+AO11-#REF!</f>
        <v>#REF!</v>
      </c>
      <c r="AS11" s="316" t="s">
        <v>295</v>
      </c>
      <c r="AT11" s="290">
        <v>33464500</v>
      </c>
      <c r="AU11" s="290">
        <v>37147900</v>
      </c>
      <c r="AV11" s="290">
        <v>38147900</v>
      </c>
      <c r="AW11" s="336" t="s">
        <v>500</v>
      </c>
    </row>
    <row r="12" spans="1:49" s="146" customFormat="1">
      <c r="A12" s="152" t="s">
        <v>310</v>
      </c>
      <c r="B12" s="145">
        <f t="array" ref="B12">SUM(IF('2014-2017 Projects'!$AB$6:$AB$198="HSDG",'2014-2017 Projects'!$AG$6:$AG$198,0))</f>
        <v>23924600</v>
      </c>
      <c r="C12" s="145">
        <f t="array" ref="C12">SUM(IF('2014-2017 Projects'!$AB$6:$AB$198="HSDG",'2014-2017 Projects'!$AG$6:$AG$198,0))</f>
        <v>23924600</v>
      </c>
      <c r="D12" s="145">
        <f t="array" ref="D12">SUM(IF('2014-2017 Projects'!$AB$6:$AB$198="HSDG",'2014-2017 Projects'!$AG$6:$AG$198,0))</f>
        <v>23924600</v>
      </c>
      <c r="E12" s="145">
        <f t="array" ref="E12">SUM(IF('2014-2017 Projects'!$AB$6:$AB$198="HSDG",'2014-2017 Projects'!$AH$6:$AH$198,0))</f>
        <v>-500000</v>
      </c>
      <c r="F12" s="145">
        <f t="array" ref="F12">SUM(IF('2014-2017 Projects'!$AB$6:$AB$198="HSDG",'2014-2017 Projects'!$AI$6:$AI$198,0))</f>
        <v>23424600</v>
      </c>
      <c r="G12" s="145"/>
      <c r="H12" s="145">
        <f t="array" ref="H12">SUM(IF('2014-2017 Projects'!$AB$6:$AB$155="HSDG",'2014-2017 Projects'!$AK$6:$AK$155,0))</f>
        <v>18600000</v>
      </c>
      <c r="I12" s="145">
        <f t="array" ref="I12">SUM(IF('2014-2017 Projects'!$AB$6:$AB$155="HSDG",'2014-2017 Projects'!$AL$6:$AL$155,0))</f>
        <v>2245000.06</v>
      </c>
      <c r="J12" s="145">
        <f t="array" ref="J12">SUM(IF('2014-2017 Projects'!$AB$6:$AB$155="HSDG",'2014-2017 Projects'!$AN$6:$AN$155,0))</f>
        <v>2245000.06</v>
      </c>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f t="array" ref="AG12">SUM(IF('2014-2017 Projects'!$AB$6:$AB$155="HSDG",'2014-2017 Projects'!$BW$6:$BW$155,0))</f>
        <v>2245000.06</v>
      </c>
      <c r="AH12" s="145">
        <f t="array" ref="AH12">SUM(IF('2014-2017 Projects'!$AB$6:$AB$155="HSDG",'2014-2017 Projects'!$BX$6:$BX$155,0))</f>
        <v>2245000.06</v>
      </c>
      <c r="AI12" s="145">
        <f t="array" ref="AI12">SUM(IF('2014-2017 Projects'!$AB$6:$AB$155="HSDG",'2014-2017 Projects'!$BV$6:$BV$155,0))</f>
        <v>0</v>
      </c>
      <c r="AJ12" s="145">
        <f t="shared" si="3"/>
        <v>16354999.939999999</v>
      </c>
      <c r="AK12" s="145">
        <f t="shared" si="4"/>
        <v>16354999.939999999</v>
      </c>
      <c r="AL12" s="453">
        <f t="shared" si="1"/>
        <v>0.12069892795698925</v>
      </c>
      <c r="AM12" s="453">
        <f t="shared" si="2"/>
        <v>0.12069892795698925</v>
      </c>
      <c r="AN12" s="145">
        <f t="array" ref="AN12">SUM(IF('2014-2017 Projects'!$AB$6:$AB$155="HSDG",'2014-2017 Projects'!$CE$6:$CE$155,0))</f>
        <v>44900000</v>
      </c>
      <c r="AO12" s="145">
        <f t="array" ref="AO12">SUM(IF('2014-2017 Projects'!$AB$6:$AB$155="HSDG",'2014-2017 Projects'!$CF$6:$CF$155,0))</f>
        <v>59300000</v>
      </c>
      <c r="AP12" s="146" t="s">
        <v>311</v>
      </c>
      <c r="AQ12" s="260"/>
      <c r="AR12" s="143"/>
      <c r="AS12" s="143" t="s">
        <v>311</v>
      </c>
      <c r="AT12" s="333"/>
      <c r="AU12" s="290"/>
      <c r="AV12" s="290"/>
    </row>
    <row r="13" spans="1:49" s="146" customFormat="1">
      <c r="A13" s="152" t="s">
        <v>497</v>
      </c>
      <c r="B13" s="145">
        <f t="array" ref="B13">SUM(IF('2014-2017 Projects'!$AB$6:$AB$198="HSDG-Special Fund",'2014-2017 Projects'!$AG$6:$AG$198,0))</f>
        <v>0</v>
      </c>
      <c r="C13" s="145">
        <f t="array" ref="C13">SUM(IF('2014-2017 Projects'!$AB$6:$AB$198="HSDG-Special Fund",'2014-2017 Projects'!$AG$6:$AG$198,0))</f>
        <v>0</v>
      </c>
      <c r="D13" s="145">
        <f t="array" ref="D13">SUM(IF('2014-2017 Projects'!$AB$6:$AB$198="HSDG-Special Fund",'2014-2017 Projects'!$AG$6:$AG$198,0))</f>
        <v>0</v>
      </c>
      <c r="E13" s="145">
        <f t="array" ref="E13">SUM(IF('2014-2017 Projects'!$AB$6:$AB$198="HSDG-Special Fund",'2014-2017 Projects'!$AH$6:$AH$198,0))</f>
        <v>0</v>
      </c>
      <c r="F13" s="145">
        <f t="array" ref="F13">SUM(IF('2014-2017 Projects'!$AB$6:$AB$198="HSDG-Special Fund",'2014-2017 Projects'!$AI$6:$AI$198,0))</f>
        <v>0</v>
      </c>
      <c r="G13" s="145"/>
      <c r="H13" s="145">
        <f t="array" ref="H13">SUM(IF('2014-2017 Projects'!$AB$6:$AB$155="HSDG-(MPCC)",'2014-2017 Projects'!$AK$6:$AK$155,0))</f>
        <v>10068500</v>
      </c>
      <c r="I13" s="145">
        <f t="array" ref="I13">SUM(IF('2014-2017 Projects'!$AB$6:$AB$155="HSDG-(MPCC)",'2014-2017 Projects'!$AL$6:$AL$155,0))</f>
        <v>0</v>
      </c>
      <c r="J13" s="145">
        <f t="array" ref="J13">SUM(IF('2014-2017 Projects'!$AB$6:$AB$155="HSDG-(MPCC)",'2014-2017 Projects'!$AN$6:$AN$155,0))</f>
        <v>0</v>
      </c>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f t="array" ref="AG13">SUM(IF('2014-2017 Projects'!$AB$6:$AB$155="HSDG-(MPCC)",'2014-2017 Projects'!$BW$6:$BW$155,0))</f>
        <v>0</v>
      </c>
      <c r="AH13" s="145">
        <f t="array" ref="AH13">SUM(IF('2014-2017 Projects'!$AB$6:$AB$155="HSDG-(MPCC)",'2014-2017 Projects'!$BX$6:$BX$155,0))</f>
        <v>0</v>
      </c>
      <c r="AI13" s="145">
        <f t="array" ref="AI13">SUM(IF('2014-2017 Projects'!$AB$6:$AB$155="HSDG-(MPCC)",'2014-2017 Projects'!$BV$6:$BV$155,0))</f>
        <v>0</v>
      </c>
      <c r="AJ13" s="145">
        <f t="shared" si="3"/>
        <v>10068500</v>
      </c>
      <c r="AK13" s="145">
        <f t="shared" si="4"/>
        <v>10068500</v>
      </c>
      <c r="AL13" s="453">
        <f t="shared" si="1"/>
        <v>0</v>
      </c>
      <c r="AM13" s="453">
        <f t="shared" si="2"/>
        <v>0</v>
      </c>
      <c r="AN13" s="145">
        <f t="array" ref="AN13">SUM(IF('2014-2017 Projects'!$AB$6:$AB$155="HSDG-(MPCC)",'2014-2017 Projects'!$CE$6:$CE$155,0))</f>
        <v>13068500</v>
      </c>
      <c r="AO13" s="145">
        <f t="array" ref="AO13">SUM(IF('2014-2017 Projects'!$AB$6:$AB$155="HSDG-(MPCC)",'2014-2017 Projects'!$CF$6:$CF$155,0))</f>
        <v>0</v>
      </c>
      <c r="AP13" s="146" t="s">
        <v>311</v>
      </c>
      <c r="AQ13" s="260"/>
      <c r="AR13" s="143"/>
      <c r="AS13" s="143" t="s">
        <v>311</v>
      </c>
      <c r="AT13" s="384"/>
      <c r="AU13" s="290"/>
      <c r="AV13" s="290"/>
    </row>
    <row r="14" spans="1:49" s="134" customFormat="1" ht="13.5" thickBot="1">
      <c r="A14" s="147" t="s">
        <v>312</v>
      </c>
      <c r="B14" s="148">
        <f t="shared" ref="B14:AO14" si="5">SUM(B7:B13)</f>
        <v>262144583</v>
      </c>
      <c r="C14" s="148">
        <f t="shared" si="5"/>
        <v>262144583</v>
      </c>
      <c r="D14" s="148">
        <f t="shared" si="5"/>
        <v>262144583</v>
      </c>
      <c r="E14" s="148">
        <f t="shared" si="5"/>
        <v>-17884413</v>
      </c>
      <c r="F14" s="148">
        <f t="shared" si="5"/>
        <v>244260170</v>
      </c>
      <c r="G14" s="148">
        <f t="shared" si="5"/>
        <v>0</v>
      </c>
      <c r="H14" s="148">
        <f t="shared" si="5"/>
        <v>700781726</v>
      </c>
      <c r="I14" s="148">
        <f t="shared" si="5"/>
        <v>4259119.2</v>
      </c>
      <c r="J14" s="148">
        <f t="shared" si="5"/>
        <v>4563538.4499999993</v>
      </c>
      <c r="K14" s="148">
        <f t="shared" si="5"/>
        <v>0</v>
      </c>
      <c r="L14" s="148">
        <f t="shared" si="5"/>
        <v>0</v>
      </c>
      <c r="M14" s="148">
        <f t="shared" si="5"/>
        <v>0</v>
      </c>
      <c r="N14" s="148">
        <f t="shared" si="5"/>
        <v>0</v>
      </c>
      <c r="O14" s="148">
        <f t="shared" si="5"/>
        <v>0</v>
      </c>
      <c r="P14" s="148">
        <f t="shared" si="5"/>
        <v>0</v>
      </c>
      <c r="Q14" s="148">
        <f t="shared" si="5"/>
        <v>0</v>
      </c>
      <c r="R14" s="148">
        <f t="shared" si="5"/>
        <v>0</v>
      </c>
      <c r="S14" s="148">
        <f t="shared" si="5"/>
        <v>0</v>
      </c>
      <c r="T14" s="148">
        <f t="shared" si="5"/>
        <v>0</v>
      </c>
      <c r="U14" s="148">
        <f t="shared" si="5"/>
        <v>0</v>
      </c>
      <c r="V14" s="148">
        <f t="shared" si="5"/>
        <v>0</v>
      </c>
      <c r="W14" s="148">
        <f t="shared" si="5"/>
        <v>0</v>
      </c>
      <c r="X14" s="148">
        <f t="shared" si="5"/>
        <v>0</v>
      </c>
      <c r="Y14" s="148">
        <f t="shared" si="5"/>
        <v>0</v>
      </c>
      <c r="Z14" s="148">
        <f t="shared" si="5"/>
        <v>0</v>
      </c>
      <c r="AA14" s="148">
        <f t="shared" si="5"/>
        <v>0</v>
      </c>
      <c r="AB14" s="148">
        <f t="shared" si="5"/>
        <v>0</v>
      </c>
      <c r="AC14" s="148">
        <f t="shared" si="5"/>
        <v>0</v>
      </c>
      <c r="AD14" s="148">
        <f t="shared" si="5"/>
        <v>0</v>
      </c>
      <c r="AE14" s="148">
        <f t="shared" si="5"/>
        <v>0</v>
      </c>
      <c r="AF14" s="148">
        <f t="shared" si="5"/>
        <v>0</v>
      </c>
      <c r="AG14" s="148">
        <f t="shared" si="5"/>
        <v>4259119.2</v>
      </c>
      <c r="AH14" s="148">
        <f t="shared" si="5"/>
        <v>4563538.4499999993</v>
      </c>
      <c r="AI14" s="148">
        <f t="shared" si="5"/>
        <v>4121409.22</v>
      </c>
      <c r="AJ14" s="148">
        <f t="shared" si="5"/>
        <v>696522606.80000007</v>
      </c>
      <c r="AK14" s="148">
        <f t="shared" si="5"/>
        <v>696218187.55000007</v>
      </c>
      <c r="AL14" s="455">
        <f t="shared" si="1"/>
        <v>6.0776687547357648E-3</v>
      </c>
      <c r="AM14" s="455">
        <f t="shared" si="2"/>
        <v>6.5120682813010443E-3</v>
      </c>
      <c r="AN14" s="148">
        <f t="shared" si="5"/>
        <v>765256600</v>
      </c>
      <c r="AO14" s="148">
        <f t="shared" si="5"/>
        <v>794671100</v>
      </c>
      <c r="AQ14" s="261"/>
      <c r="AR14" s="143"/>
      <c r="AS14" s="143"/>
      <c r="AT14" s="290"/>
      <c r="AU14" s="290"/>
      <c r="AV14" s="290"/>
      <c r="AW14" s="153"/>
    </row>
    <row r="15" spans="1:49" s="134" customFormat="1" ht="14.25" thickTop="1" thickBot="1">
      <c r="A15" s="144"/>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454"/>
      <c r="AM15" s="454"/>
      <c r="AN15" s="155"/>
      <c r="AO15" s="155"/>
      <c r="AQ15" s="263"/>
      <c r="AR15" s="143"/>
      <c r="AS15" s="143"/>
      <c r="AT15" s="290"/>
      <c r="AU15" s="290"/>
      <c r="AV15" s="290"/>
    </row>
    <row r="16" spans="1:49" s="134" customFormat="1" ht="14.25" thickTop="1" thickBot="1">
      <c r="A16" s="147" t="s">
        <v>313</v>
      </c>
      <c r="B16" s="154">
        <f t="shared" ref="B16:AR16" si="6">+B14+B6</f>
        <v>262144583</v>
      </c>
      <c r="C16" s="154">
        <f t="shared" si="6"/>
        <v>262144583</v>
      </c>
      <c r="D16" s="154">
        <f t="shared" si="6"/>
        <v>284523214.88</v>
      </c>
      <c r="E16" s="154">
        <f t="shared" si="6"/>
        <v>12199892</v>
      </c>
      <c r="F16" s="247">
        <f t="shared" si="6"/>
        <v>296723106.88</v>
      </c>
      <c r="G16" s="154">
        <f t="shared" si="6"/>
        <v>0</v>
      </c>
      <c r="H16" s="154">
        <f t="shared" si="6"/>
        <v>942007423</v>
      </c>
      <c r="I16" s="154">
        <f t="shared" si="6"/>
        <v>4279296.1500000004</v>
      </c>
      <c r="J16" s="154">
        <f t="shared" si="6"/>
        <v>4583715.3999999994</v>
      </c>
      <c r="K16" s="154">
        <f t="shared" si="6"/>
        <v>0</v>
      </c>
      <c r="L16" s="154">
        <f t="shared" si="6"/>
        <v>0</v>
      </c>
      <c r="M16" s="154">
        <f t="shared" si="6"/>
        <v>0</v>
      </c>
      <c r="N16" s="154">
        <f t="shared" si="6"/>
        <v>0</v>
      </c>
      <c r="O16" s="154">
        <f t="shared" si="6"/>
        <v>0</v>
      </c>
      <c r="P16" s="154">
        <f t="shared" si="6"/>
        <v>0</v>
      </c>
      <c r="Q16" s="154">
        <f t="shared" si="6"/>
        <v>0</v>
      </c>
      <c r="R16" s="154">
        <f t="shared" si="6"/>
        <v>0</v>
      </c>
      <c r="S16" s="154">
        <f t="shared" si="6"/>
        <v>0</v>
      </c>
      <c r="T16" s="154">
        <f t="shared" si="6"/>
        <v>0</v>
      </c>
      <c r="U16" s="154">
        <f t="shared" si="6"/>
        <v>0</v>
      </c>
      <c r="V16" s="154">
        <f t="shared" si="6"/>
        <v>0</v>
      </c>
      <c r="W16" s="154">
        <f t="shared" si="6"/>
        <v>0</v>
      </c>
      <c r="X16" s="154">
        <f t="shared" si="6"/>
        <v>0</v>
      </c>
      <c r="Y16" s="154">
        <f t="shared" si="6"/>
        <v>0</v>
      </c>
      <c r="Z16" s="154">
        <f t="shared" si="6"/>
        <v>0</v>
      </c>
      <c r="AA16" s="154">
        <f t="shared" si="6"/>
        <v>0</v>
      </c>
      <c r="AB16" s="154">
        <f t="shared" si="6"/>
        <v>0</v>
      </c>
      <c r="AC16" s="154">
        <f t="shared" si="6"/>
        <v>0</v>
      </c>
      <c r="AD16" s="154">
        <f t="shared" si="6"/>
        <v>0</v>
      </c>
      <c r="AE16" s="154">
        <f t="shared" si="6"/>
        <v>0</v>
      </c>
      <c r="AF16" s="154">
        <f t="shared" si="6"/>
        <v>0</v>
      </c>
      <c r="AG16" s="154">
        <f t="shared" si="6"/>
        <v>4279296.1500000004</v>
      </c>
      <c r="AH16" s="154">
        <f t="shared" si="6"/>
        <v>4583715.3999999994</v>
      </c>
      <c r="AI16" s="154">
        <f t="shared" si="6"/>
        <v>5180679.37</v>
      </c>
      <c r="AJ16" s="154">
        <f t="shared" si="6"/>
        <v>937728126.85000014</v>
      </c>
      <c r="AK16" s="154">
        <f t="shared" si="6"/>
        <v>937423707.60000014</v>
      </c>
      <c r="AL16" s="455">
        <f t="shared" si="1"/>
        <v>4.5427414323039794E-3</v>
      </c>
      <c r="AM16" s="455">
        <f t="shared" si="2"/>
        <v>4.8659015715633051E-3</v>
      </c>
      <c r="AN16" s="154">
        <f t="shared" si="6"/>
        <v>1024127261</v>
      </c>
      <c r="AO16" s="154">
        <f t="shared" si="6"/>
        <v>1069226151</v>
      </c>
      <c r="AP16" s="154">
        <f t="shared" si="6"/>
        <v>0</v>
      </c>
      <c r="AQ16" s="154">
        <f t="shared" si="6"/>
        <v>0</v>
      </c>
      <c r="AR16" s="154">
        <f t="shared" si="6"/>
        <v>0</v>
      </c>
      <c r="AS16" s="316"/>
      <c r="AT16" s="330">
        <f>+H11+AT11</f>
        <v>673289000</v>
      </c>
      <c r="AU16" s="330">
        <f>+AN11+AU11</f>
        <v>700458000</v>
      </c>
      <c r="AV16" s="330">
        <f>+AO11+AV11</f>
        <v>743775000</v>
      </c>
      <c r="AW16" s="156"/>
    </row>
    <row r="17" spans="1:49" s="134" customFormat="1" ht="13.5" thickTop="1">
      <c r="A17" s="157"/>
      <c r="B17" s="158"/>
      <c r="C17" s="158"/>
      <c r="D17" s="158"/>
      <c r="E17" s="158"/>
      <c r="F17" s="286"/>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456"/>
      <c r="AM17" s="456"/>
      <c r="AN17" s="158"/>
      <c r="AO17" s="158"/>
      <c r="AP17" s="158"/>
      <c r="AQ17" s="158"/>
      <c r="AR17" s="158"/>
      <c r="AS17" s="316"/>
      <c r="AT17" s="333"/>
      <c r="AU17" s="333"/>
      <c r="AV17" s="333"/>
      <c r="AW17" s="156"/>
    </row>
    <row r="18" spans="1:49" s="134" customFormat="1">
      <c r="A18" s="157"/>
      <c r="B18" s="158"/>
      <c r="C18" s="158"/>
      <c r="D18" s="158"/>
      <c r="E18" s="158"/>
      <c r="F18" s="286"/>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456"/>
      <c r="AM18" s="456"/>
      <c r="AN18" s="158"/>
      <c r="AO18" s="158"/>
      <c r="AP18" s="158"/>
      <c r="AQ18" s="158"/>
      <c r="AR18" s="158"/>
      <c r="AS18" s="316"/>
      <c r="AT18" s="333"/>
      <c r="AU18" s="333"/>
      <c r="AV18" s="333"/>
      <c r="AW18" s="156"/>
    </row>
    <row r="19" spans="1:49" s="134" customFormat="1" ht="72">
      <c r="A19" s="465" t="s">
        <v>224</v>
      </c>
      <c r="B19" s="139" t="s">
        <v>298</v>
      </c>
      <c r="C19" s="139" t="s">
        <v>299</v>
      </c>
      <c r="D19" s="139" t="s">
        <v>300</v>
      </c>
      <c r="E19" s="139" t="s">
        <v>291</v>
      </c>
      <c r="F19" s="139" t="s">
        <v>292</v>
      </c>
      <c r="G19" s="141" t="s">
        <v>301</v>
      </c>
      <c r="H19" s="141" t="s">
        <v>616</v>
      </c>
      <c r="I19" s="452" t="s">
        <v>589</v>
      </c>
      <c r="J19" s="452" t="s">
        <v>590</v>
      </c>
      <c r="K19" s="452" t="s">
        <v>592</v>
      </c>
      <c r="L19" s="452" t="s">
        <v>593</v>
      </c>
      <c r="M19" s="452" t="s">
        <v>594</v>
      </c>
      <c r="N19" s="452" t="s">
        <v>595</v>
      </c>
      <c r="O19" s="452" t="s">
        <v>596</v>
      </c>
      <c r="P19" s="452" t="s">
        <v>597</v>
      </c>
      <c r="Q19" s="452" t="s">
        <v>598</v>
      </c>
      <c r="R19" s="452" t="s">
        <v>599</v>
      </c>
      <c r="S19" s="452" t="s">
        <v>600</v>
      </c>
      <c r="T19" s="452" t="s">
        <v>601</v>
      </c>
      <c r="U19" s="452" t="s">
        <v>603</v>
      </c>
      <c r="V19" s="452" t="s">
        <v>604</v>
      </c>
      <c r="W19" s="452" t="s">
        <v>605</v>
      </c>
      <c r="X19" s="452" t="s">
        <v>606</v>
      </c>
      <c r="Y19" s="452" t="s">
        <v>607</v>
      </c>
      <c r="Z19" s="452" t="s">
        <v>608</v>
      </c>
      <c r="AA19" s="452" t="s">
        <v>610</v>
      </c>
      <c r="AB19" s="452" t="s">
        <v>609</v>
      </c>
      <c r="AC19" s="452" t="s">
        <v>611</v>
      </c>
      <c r="AD19" s="452" t="s">
        <v>612</v>
      </c>
      <c r="AE19" s="452" t="s">
        <v>613</v>
      </c>
      <c r="AF19" s="452" t="s">
        <v>614</v>
      </c>
      <c r="AG19" s="452" t="s">
        <v>203</v>
      </c>
      <c r="AH19" s="452" t="s">
        <v>618</v>
      </c>
      <c r="AI19" s="452" t="s">
        <v>220</v>
      </c>
      <c r="AJ19" s="452" t="s">
        <v>619</v>
      </c>
      <c r="AK19" s="452" t="s">
        <v>620</v>
      </c>
      <c r="AL19" s="452" t="s">
        <v>621</v>
      </c>
      <c r="AM19" s="452" t="s">
        <v>622</v>
      </c>
      <c r="AN19" s="158"/>
      <c r="AO19" s="158"/>
      <c r="AP19" s="158"/>
      <c r="AQ19" s="158"/>
      <c r="AR19" s="158"/>
      <c r="AS19" s="316"/>
      <c r="AT19" s="333"/>
      <c r="AU19" s="333"/>
      <c r="AV19" s="333"/>
      <c r="AW19" s="156"/>
    </row>
    <row r="20" spans="1:49" s="134" customFormat="1">
      <c r="A20" s="171" t="s">
        <v>623</v>
      </c>
      <c r="B20" s="145">
        <f t="array" ref="B20">SUM(IF('2014-2017 Projects'!$C$6:$C$198="1.1 - Office of The Director of Executive Support",'2014-2017 Projects'!$AG$6:$AG$198,0))</f>
        <v>0</v>
      </c>
      <c r="C20" s="145">
        <f t="array" ref="C20">SUM(IF('2014-2017 Projects'!$A$6:$A$198="Municipal Manager's Office",'2014-2017 Projects'!$AG$6:$AG$198,0))</f>
        <v>12750000</v>
      </c>
      <c r="D20" s="145">
        <f t="array" ref="D20">SUM(IF('2014-2017 Projects'!$A$6:$A$198="Municipal Manager's Office",'2014-2017 Projects'!$AG$6:$AG$198,0))</f>
        <v>12750000</v>
      </c>
      <c r="E20" s="145">
        <f t="array" ref="E20">SUM(IF('2014-2017 Projects'!$A$6:$A$198="Municipal Manager's Office",'2014-2017 Projects'!$AH$6:$AH$198,0))</f>
        <v>-10000000</v>
      </c>
      <c r="F20" s="145">
        <f t="array" ref="F20">SUM(IF('2014-2017 Projects'!$A$6:$A$198="Municipal Manager's Office",'2014-2017 Projects'!$AI$6:$AI$198,0))</f>
        <v>2750000</v>
      </c>
      <c r="G20" s="145"/>
      <c r="H20" s="145">
        <f t="array" ref="H20">SUM(IF('2014-2017 Projects'!$C$6:$C$155="1.1 - Office of The Director of Executive Support",'2014-2017 Projects'!$AK$6:$AK$155,0))</f>
        <v>500000</v>
      </c>
      <c r="I20" s="145">
        <f t="array" ref="I20">SUM(IF('2014-2017 Projects'!$C$6:$C$155="1.1 - Office of The Director of Executive Support",'2014-2017 Projects'!$AL$6:$AL$155,0))</f>
        <v>0</v>
      </c>
      <c r="J20" s="145">
        <f t="array" ref="J20">SUM(IF('2014-2017 Projects'!$C$6:$C$155="1.1 - Office of The Director of Executive Support",'2014-2017 Projects'!$AN$6:$AN$155,0))</f>
        <v>0</v>
      </c>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f t="array" ref="AG20">SUM(IF('2014-2017 Projects'!$C$6:$C$155="1.1 - Office of The Director of Executive Support",'2014-2017 Projects'!$BW$6:$BW$155,0))</f>
        <v>0</v>
      </c>
      <c r="AH20" s="145">
        <f t="array" ref="AH20">SUM(IF('2014-2017 Projects'!$C$6:$C$155="1.1 - Office of The Director of Executive Support",'2014-2017 Projects'!$BX$6:$BX$155,0))</f>
        <v>0</v>
      </c>
      <c r="AI20" s="145">
        <f t="array" ref="AI20">SUM(IF('2014-2017 Projects'!$C$6:$C$155="1.1 - Office of The Director of Executive Support",'2014-2017 Projects'!$BV$6:$BV$155,0))</f>
        <v>0</v>
      </c>
      <c r="AJ20" s="145">
        <f t="shared" ref="AJ20:AJ23" si="7">H20-AG20</f>
        <v>500000</v>
      </c>
      <c r="AK20" s="145">
        <f t="shared" ref="AK20:AK23" si="8">H20-AH20</f>
        <v>500000</v>
      </c>
      <c r="AL20" s="453">
        <f t="shared" ref="AL20:AL23" si="9">AG20/H20</f>
        <v>0</v>
      </c>
      <c r="AM20" s="453">
        <f t="shared" ref="AM20:AM23" si="10">AH20/H20</f>
        <v>0</v>
      </c>
      <c r="AN20" s="158"/>
      <c r="AO20" s="158"/>
      <c r="AP20" s="158"/>
      <c r="AQ20" s="158"/>
      <c r="AR20" s="158"/>
      <c r="AS20" s="316"/>
      <c r="AT20" s="333"/>
      <c r="AU20" s="333"/>
      <c r="AV20" s="333"/>
      <c r="AW20" s="156"/>
    </row>
    <row r="21" spans="1:49" s="134" customFormat="1">
      <c r="A21" s="171" t="s">
        <v>624</v>
      </c>
      <c r="B21" s="145">
        <f t="array" ref="B21">SUM(IF('2014-2017 Projects'!$A$6:$A$177="Chief Operations Officer",'2014-2017 Projects'!$AG$6:$AG$177,0))</f>
        <v>0</v>
      </c>
      <c r="C21" s="145">
        <f t="array" ref="C21">SUM(IF('2014-2017 Projects'!$A$6:$A$177="Chief Operations Officer",'2014-2017 Projects'!$AG$6:$AG$177,0))</f>
        <v>0</v>
      </c>
      <c r="D21" s="145">
        <f t="array" ref="D21">SUM(IF('2014-2017 Projects'!$A$6:$A$177="Chief Operations Officer",'2014-2017 Projects'!$AG$6:$AG$177,0))</f>
        <v>0</v>
      </c>
      <c r="E21" s="145">
        <f t="array" ref="E21">SUM(IF('2014-2017 Projects'!$A$6:$A$177="Chief Operations Officer",'2014-2017 Projects'!$AH$6:$AH$177,0))</f>
        <v>0</v>
      </c>
      <c r="F21" s="145">
        <f t="array" ref="F21">SUM(IF('2014-2017 Projects'!$A$6:$A$177="Chief Operations Officer",'2014-2017 Projects'!$AI$6:$AI$177,0))</f>
        <v>0</v>
      </c>
      <c r="G21" s="145">
        <f t="array" ref="G21">SUM(IF('2014-2017 Projects'!$A$6:$A$177="Chief Operations Officer",'2014-2017 Projects'!$AG$6:$AG$177,0))</f>
        <v>0</v>
      </c>
      <c r="H21" s="145">
        <f t="array" ref="H21">SUM(IF('2014-2017 Projects'!$C$6:$C$155="1.11 - Development Co-Operation",'2014-2017 Projects'!$AK$6:$AK$155,0))</f>
        <v>0</v>
      </c>
      <c r="I21" s="145">
        <f t="array" ref="I21">SUM(IF('2014-2017 Projects'!$C$6:$C$155="1.11 - Development Co-Operation",'2014-2017 Projects'!$AL$6:$AL$155,0))</f>
        <v>0</v>
      </c>
      <c r="J21" s="145">
        <f t="array" ref="J21">SUM(IF('2014-2017 Projects'!$C$6:$C$155="1.11 - Development Co-Operation",'2014-2017 Projects'!$AN$6:$AN$155,0))</f>
        <v>0</v>
      </c>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f t="array" ref="AG21">SUM(IF('2014-2017 Projects'!$C$6:$C$155="1.11 - Development Co-Operation",'2014-2017 Projects'!$BW$6:$BW$155,0))</f>
        <v>0</v>
      </c>
      <c r="AH21" s="145">
        <f t="array" ref="AH21">SUM(IF('2014-2017 Projects'!$C$6:$C$155="1.11 - Development Co-Operation",'2014-2017 Projects'!$BX$6:$BX$155,0))</f>
        <v>0</v>
      </c>
      <c r="AI21" s="145">
        <f t="array" ref="AI21">SUM(IF('2014-2017 Projects'!$C$6:$C$155="1.11 - Development Co-Operation",'2014-2017 Projects'!$BV$6:$BV$155,0))</f>
        <v>0</v>
      </c>
      <c r="AJ21" s="145">
        <f t="shared" si="7"/>
        <v>0</v>
      </c>
      <c r="AK21" s="145">
        <f t="shared" si="8"/>
        <v>0</v>
      </c>
      <c r="AL21" s="453" t="e">
        <f t="shared" si="9"/>
        <v>#DIV/0!</v>
      </c>
      <c r="AM21" s="453" t="e">
        <f t="shared" si="10"/>
        <v>#DIV/0!</v>
      </c>
      <c r="AN21" s="158"/>
      <c r="AO21" s="158"/>
      <c r="AP21" s="158"/>
      <c r="AQ21" s="158"/>
      <c r="AR21" s="158"/>
      <c r="AS21" s="316"/>
      <c r="AT21" s="333"/>
      <c r="AU21" s="333"/>
      <c r="AV21" s="333"/>
      <c r="AW21" s="156"/>
    </row>
    <row r="22" spans="1:49" s="134" customFormat="1">
      <c r="A22" s="171" t="s">
        <v>625</v>
      </c>
      <c r="B22" s="145">
        <f t="array" ref="B22">SUM(IF('2014-2017 Projects'!$A$6:$A$177="Financial Services",'2014-2017 Projects'!$AG$6:$AG$177,0))</f>
        <v>0</v>
      </c>
      <c r="C22" s="145">
        <f t="array" ref="C22">SUM(IF('2014-2017 Projects'!$A$6:$A$177="Financial Services",'2014-2017 Projects'!$AG$6:$AG$177,0))</f>
        <v>0</v>
      </c>
      <c r="D22" s="145">
        <f t="array" ref="D22">SUM(IF('2014-2017 Projects'!$A$6:$A$177="Financial Services",'2014-2017 Projects'!$AG$6:$AG$177,0))</f>
        <v>0</v>
      </c>
      <c r="E22" s="145">
        <f t="array" ref="E22">SUM(IF('2014-2017 Projects'!$A$6:$A$177="Financial Services",'2014-2017 Projects'!$AH$6:$AH$177,0))</f>
        <v>0</v>
      </c>
      <c r="F22" s="145">
        <f t="array" ref="F22">SUM(IF('2014-2017 Projects'!$A$6:$A$177="Financial Services",'2014-2017 Projects'!$AI$6:$AI$177,0))</f>
        <v>0</v>
      </c>
      <c r="G22" s="145"/>
      <c r="H22" s="145">
        <f t="array" ref="H22">SUM(IF('2014-2017 Projects'!$C$6:$C$155="1.2 - Executive Mayor, Speaker &amp; Mayoral Committee",'2014-2017 Projects'!$AK$6:$AK$155,0))</f>
        <v>0</v>
      </c>
      <c r="I22" s="145">
        <f t="array" ref="I22">SUM(IF('2014-2017 Projects'!$C$6:$C$155="1.2 - Executive Mayor, Speaker &amp; Mayoral Committee",'2014-2017 Projects'!$AL$6:$AL$155,0))</f>
        <v>0</v>
      </c>
      <c r="J22" s="145">
        <f t="array" ref="J22">SUM(IF('2014-2017 Projects'!$C$6:$C$155="1.2 - Executive Mayor, Speaker &amp; Mayoral Committee",'2014-2017 Projects'!$AN$6:$AN$155,0))</f>
        <v>0</v>
      </c>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f t="array" ref="AG22">SUM(IF('2014-2017 Projects'!$C$6:$C$155="1.2 - Executive Mayor, Speaker &amp; Mayoral Committee",'2014-2017 Projects'!$BW$6:$BW$155,0))</f>
        <v>0</v>
      </c>
      <c r="AH22" s="145">
        <f t="array" ref="AH22">SUM(IF('2014-2017 Projects'!$C$6:$C$155="1.2 - Executive Mayor, Speaker &amp; Mayoral Committee",'2014-2017 Projects'!$BX$6:$BX$155,0))</f>
        <v>0</v>
      </c>
      <c r="AI22" s="145">
        <f t="array" ref="AI22">SUM(IF('2014-2017 Projects'!$C$6:$C$155="1.2 - Executive Mayor, Speaker &amp; Mayoral Committee",'2014-2017 Projects'!$BV$6:$BV$155,0))</f>
        <v>0</v>
      </c>
      <c r="AJ22" s="145">
        <f t="shared" si="7"/>
        <v>0</v>
      </c>
      <c r="AK22" s="145">
        <f t="shared" si="8"/>
        <v>0</v>
      </c>
      <c r="AL22" s="453" t="e">
        <f t="shared" si="9"/>
        <v>#DIV/0!</v>
      </c>
      <c r="AM22" s="453" t="e">
        <f t="shared" si="10"/>
        <v>#DIV/0!</v>
      </c>
      <c r="AN22" s="158"/>
      <c r="AO22" s="158"/>
      <c r="AP22" s="158"/>
      <c r="AQ22" s="158"/>
      <c r="AR22" s="158"/>
      <c r="AS22" s="316"/>
      <c r="AT22" s="333"/>
      <c r="AU22" s="333"/>
      <c r="AV22" s="333"/>
      <c r="AW22" s="156"/>
    </row>
    <row r="23" spans="1:49" s="134" customFormat="1">
      <c r="A23" s="171" t="s">
        <v>626</v>
      </c>
      <c r="B23" s="145">
        <f t="array" ref="B23">SUM(IF('2014-2017 Projects'!$A$6:$A$177="Corporate Services",'2014-2017 Projects'!$AG$6:$AG$177,0))</f>
        <v>6600000</v>
      </c>
      <c r="C23" s="145">
        <f t="array" ref="C23">SUM(IF('2014-2017 Projects'!$A$6:$A$177="Corporate Services",'2014-2017 Projects'!$AG$6:$AG$177,0))</f>
        <v>6600000</v>
      </c>
      <c r="D23" s="145">
        <f t="array" ref="D23">SUM(IF('2014-2017 Projects'!$A$6:$A$177="Corporate Services",'2014-2017 Projects'!$AG$6:$AG$177,0))</f>
        <v>6600000</v>
      </c>
      <c r="E23" s="145">
        <f t="array" ref="E23">SUM(IF('2014-2017 Projects'!$A$6:$A$177="Corporate Services",'2014-2017 Projects'!$AH$6:$AH$177,0))</f>
        <v>0</v>
      </c>
      <c r="F23" s="145">
        <f t="array" ref="F23">SUM(IF('2014-2017 Projects'!$A$6:$A$177="Corporate Services",'2014-2017 Projects'!$AI$6:$AI$177,0))</f>
        <v>6600000</v>
      </c>
      <c r="G23" s="145"/>
      <c r="H23" s="145">
        <f t="array" ref="H23">SUM(IF('2014-2017 Projects'!$C$6:$C$155="1.8 - City Hall",'2014-2017 Projects'!$AK$6:$AK$155,0))</f>
        <v>0</v>
      </c>
      <c r="I23" s="145">
        <f t="array" ref="I23">SUM(IF('2014-2017 Projects'!$C$6:$C$155="1.8 - City Hall",'2014-2017 Projects'!$AL$6:$AL$155,0))</f>
        <v>0</v>
      </c>
      <c r="J23" s="145">
        <f t="array" ref="J23">SUM(IF('2014-2017 Projects'!$C$6:$C$155="1.8 - City Hall",'2014-2017 Projects'!$AN$6:$AN$155,0))</f>
        <v>0</v>
      </c>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f t="array" ref="AG23">SUM(IF('2014-2017 Projects'!$C$6:$C$155="1.8 - City Hall",'2014-2017 Projects'!$BW$6:$BW$155,0))</f>
        <v>0</v>
      </c>
      <c r="AH23" s="145">
        <f t="array" ref="AH23">SUM(IF('2014-2017 Projects'!$C$6:$C$155="1.8 - City Hall",'2014-2017 Projects'!$BX$6:$BX$155,0))</f>
        <v>0</v>
      </c>
      <c r="AI23" s="145">
        <f t="array" ref="AI23">SUM(IF('2014-2017 Projects'!$C$6:$C$155="1.8 - City Hall",'2014-2017 Projects'!$BV$6:$BV$155,0))</f>
        <v>0</v>
      </c>
      <c r="AJ23" s="145">
        <f t="shared" si="7"/>
        <v>0</v>
      </c>
      <c r="AK23" s="145">
        <f t="shared" si="8"/>
        <v>0</v>
      </c>
      <c r="AL23" s="453" t="e">
        <f t="shared" si="9"/>
        <v>#DIV/0!</v>
      </c>
      <c r="AM23" s="453" t="e">
        <f t="shared" si="10"/>
        <v>#DIV/0!</v>
      </c>
      <c r="AN23" s="158"/>
      <c r="AO23" s="158"/>
      <c r="AP23" s="158"/>
      <c r="AQ23" s="158"/>
      <c r="AR23" s="158"/>
      <c r="AS23" s="316"/>
      <c r="AT23" s="333"/>
      <c r="AU23" s="333"/>
      <c r="AV23" s="333"/>
      <c r="AW23" s="156"/>
    </row>
    <row r="24" spans="1:49" s="134" customFormat="1">
      <c r="A24" s="171" t="s">
        <v>225</v>
      </c>
      <c r="B24" s="145">
        <f t="array" ref="B24">SUM(IF('2014-2017 Projects'!$A$6:$A$198="Municipal Manager's Office",'2014-2017 Projects'!$AG$6:$AG$198,0))</f>
        <v>12750000</v>
      </c>
      <c r="C24" s="145">
        <f t="array" ref="C24">SUM(IF('2014-2017 Projects'!$A$6:$A$198="Municipal Manager's Office",'2014-2017 Projects'!$AG$6:$AG$198,0))</f>
        <v>12750000</v>
      </c>
      <c r="D24" s="145">
        <f t="array" ref="D24">SUM(IF('2014-2017 Projects'!$A$6:$A$198="Municipal Manager's Office",'2014-2017 Projects'!$AG$6:$AG$198,0))</f>
        <v>12750000</v>
      </c>
      <c r="E24" s="145">
        <f t="array" ref="E24">SUM(IF('2014-2017 Projects'!$A$6:$A$198="Municipal Manager's Office",'2014-2017 Projects'!$AH$6:$AH$198,0))</f>
        <v>-10000000</v>
      </c>
      <c r="F24" s="145">
        <f t="array" ref="F24">SUM(IF('2014-2017 Projects'!$A$6:$A$198="Municipal Manager's Office",'2014-2017 Projects'!$AI$6:$AI$198,0))</f>
        <v>2750000</v>
      </c>
      <c r="G24" s="145"/>
      <c r="H24" s="145">
        <f t="array" ref="H24">SUM(IF('2014-2017 Projects'!$C$6:$C$155="2.1 - Office of The Municipal Manager &amp; Support Services",'2014-2017 Projects'!$AK$6:$AK$155,0))</f>
        <v>7000000</v>
      </c>
      <c r="I24" s="145">
        <f t="array" ref="I24">SUM(IF('2014-2017 Projects'!$C$6:$C$155="2.1 - Office of The Municipal Manager &amp; Support Services",'2014-2017 Projects'!$AL$6:$AL$155,0))</f>
        <v>0</v>
      </c>
      <c r="J24" s="145">
        <f t="array" ref="J24">SUM(IF('2014-2017 Projects'!$C$6:$C$155="2.1 - Office of The Municipal Manager &amp; Support Services",'2014-2017 Projects'!$AN$6:$AN$155,0))</f>
        <v>0</v>
      </c>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f t="array" ref="AG24">SUM(IF('2014-2017 Projects'!$C$6:$C$155="2.1 - Office of The Municipal Manager &amp; Support Services",'2014-2017 Projects'!$BW$6:$BW$155,0))</f>
        <v>0</v>
      </c>
      <c r="AH24" s="145">
        <f t="array" ref="AH24">SUM(IF('2014-2017 Projects'!$C$6:$C$155="2.1 - Office of The Municipal Manager &amp; Support Services",'2014-2017 Projects'!$BX$6:$BX$155,0))</f>
        <v>0</v>
      </c>
      <c r="AI24" s="145">
        <f t="array" ref="AI24">SUM(IF('2014-2017 Projects'!$C$6:$C$155="2.1 - Office of The Municipal Manager &amp; Support Services",'2014-2017 Projects'!$BV$6:$BV$155,0))</f>
        <v>0</v>
      </c>
      <c r="AJ24" s="145">
        <f t="shared" ref="AJ24:AJ78" si="11">H24-AG24</f>
        <v>7000000</v>
      </c>
      <c r="AK24" s="145">
        <f t="shared" ref="AK24:AK78" si="12">H24-AH24</f>
        <v>7000000</v>
      </c>
      <c r="AL24" s="453">
        <f t="shared" ref="AL24:AL78" si="13">AG24/H24</f>
        <v>0</v>
      </c>
      <c r="AM24" s="453">
        <f t="shared" ref="AM24:AM78" si="14">AH24/H24</f>
        <v>0</v>
      </c>
      <c r="AN24" s="158"/>
      <c r="AO24" s="158"/>
      <c r="AP24" s="158"/>
      <c r="AQ24" s="158"/>
      <c r="AR24" s="158"/>
      <c r="AS24" s="316"/>
      <c r="AT24" s="333"/>
      <c r="AU24" s="333"/>
      <c r="AV24" s="333"/>
      <c r="AW24" s="156"/>
    </row>
    <row r="25" spans="1:49" s="134" customFormat="1">
      <c r="A25" s="171" t="s">
        <v>644</v>
      </c>
      <c r="B25" s="145"/>
      <c r="C25" s="145"/>
      <c r="D25" s="145"/>
      <c r="E25" s="145"/>
      <c r="F25" s="145"/>
      <c r="G25" s="145"/>
      <c r="H25" s="145">
        <f t="array" ref="H25">SUM(IF('2014-2017 Projects'!$C$6:$C$155="3.1 - Mdantsane Urban Renewal Unit",'2014-2017 Projects'!$AK$6:$AK$155,0))</f>
        <v>10068500</v>
      </c>
      <c r="I25" s="145">
        <f t="array" ref="I25">SUM(IF('2014-2017 Projects'!$C$6:$C$155="3.1 - Mdantsane Urban Renewal Unit",'2014-2017 Projects'!$AL$6:$AL$155,0))</f>
        <v>0</v>
      </c>
      <c r="J25" s="145">
        <f t="array" ref="J25">SUM(IF('2014-2017 Projects'!$C$6:$C$155="3.1 - Mdantsane Urban Renewal Unit",'2014-2017 Projects'!$AN$6:$AN$155,0))</f>
        <v>0</v>
      </c>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f t="array" ref="AG25">SUM(IF('2014-2017 Projects'!$C$6:$C$155="3.1 - Mdantsane Urban Renewal Unit",'2014-2017 Projects'!$BW$6:$BW$155,0))</f>
        <v>0</v>
      </c>
      <c r="AH25" s="145">
        <f t="array" ref="AH25">SUM(IF('2014-2017 Projects'!$C$6:$C$155="3.1 - Mdantsane Urban Renewal Unit",'2014-2017 Projects'!$BX$6:$BX$155,0))</f>
        <v>0</v>
      </c>
      <c r="AI25" s="145">
        <f t="array" ref="AI25">SUM(IF('2014-2017 Projects'!$C$6:$C$155="3.1 - Mdantsane Urban Renewal Unit",'2014-2017 Projects'!$BV$6:$BV$155,0))</f>
        <v>0</v>
      </c>
      <c r="AJ25" s="145">
        <f t="shared" ref="AJ25" si="15">H25-AG25</f>
        <v>10068500</v>
      </c>
      <c r="AK25" s="145">
        <f t="shared" ref="AK25" si="16">H25-AH25</f>
        <v>10068500</v>
      </c>
      <c r="AL25" s="453">
        <f t="shared" ref="AL25" si="17">AG25/H25</f>
        <v>0</v>
      </c>
      <c r="AM25" s="453">
        <f t="shared" ref="AM25" si="18">AH25/H25</f>
        <v>0</v>
      </c>
      <c r="AN25" s="158"/>
      <c r="AO25" s="158"/>
      <c r="AP25" s="158"/>
      <c r="AQ25" s="158"/>
      <c r="AR25" s="158"/>
      <c r="AS25" s="316"/>
      <c r="AT25" s="333"/>
      <c r="AU25" s="333"/>
      <c r="AV25" s="333"/>
      <c r="AW25" s="156"/>
    </row>
    <row r="26" spans="1:49" s="134" customFormat="1">
      <c r="A26" s="171" t="s">
        <v>226</v>
      </c>
      <c r="B26" s="145">
        <f t="array" ref="B26">SUM(IF('2014-2017 Projects'!$A$6:$A$177="Chief Operations Officer",'2014-2017 Projects'!$AG$6:$AG$177,0))</f>
        <v>0</v>
      </c>
      <c r="C26" s="145">
        <f t="array" ref="C26">SUM(IF('2014-2017 Projects'!$A$6:$A$177="Chief Operations Officer",'2014-2017 Projects'!$AG$6:$AG$177,0))</f>
        <v>0</v>
      </c>
      <c r="D26" s="145">
        <f t="array" ref="D26">SUM(IF('2014-2017 Projects'!$A$6:$A$177="Chief Operations Officer",'2014-2017 Projects'!$AG$6:$AG$177,0))</f>
        <v>0</v>
      </c>
      <c r="E26" s="145">
        <f t="array" ref="E26">SUM(IF('2014-2017 Projects'!$A$6:$A$177="Chief Operations Officer",'2014-2017 Projects'!$AH$6:$AH$177,0))</f>
        <v>0</v>
      </c>
      <c r="F26" s="145">
        <f t="array" ref="F26">SUM(IF('2014-2017 Projects'!$A$6:$A$177="Chief Operations Officer",'2014-2017 Projects'!$AI$6:$AI$177,0))</f>
        <v>0</v>
      </c>
      <c r="G26" s="145">
        <f t="array" ref="G26">SUM(IF('2014-2017 Projects'!$A$6:$A$177="Chief Operations Officer",'2014-2017 Projects'!$AG$6:$AG$177,0))</f>
        <v>0</v>
      </c>
      <c r="H26" s="145">
        <f t="array" ref="H26">SUM(IF('2014-2017 Projects'!$C$6:$C$155="3.2 - Office of The Chief Operations Officer",'2014-2017 Projects'!$AK$6:$AK$155,0))</f>
        <v>500000</v>
      </c>
      <c r="I26" s="145">
        <f t="array" ref="I26">SUM(IF('2014-2017 Projects'!$C$6:$C$155="3.2 - Office of The Chief Operations Officer",'2014-2017 Projects'!$AL$6:$AL$155,0))</f>
        <v>0</v>
      </c>
      <c r="J26" s="145">
        <f t="array" ref="J26">SUM(IF('2014-2017 Projects'!$C$6:$C$155="3.2 - Office of The Chief Operations Officer",'2014-2017 Projects'!$AN$6:$AN$155,0))</f>
        <v>0</v>
      </c>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f t="array" ref="AG26">SUM(IF('2014-2017 Projects'!$C$6:$C$155="3.2 - Office of The Chief Operations Officer",'2014-2017 Projects'!$BW$6:$BW$155,0))</f>
        <v>0</v>
      </c>
      <c r="AH26" s="145">
        <f t="array" ref="AH26">SUM(IF('2014-2017 Projects'!$C$6:$C$155="3.2 - Office of The Chief Operations Officer",'2014-2017 Projects'!$BX$6:$BX$155,0))</f>
        <v>0</v>
      </c>
      <c r="AI26" s="145">
        <f t="array" ref="AI26">SUM(IF('2014-2017 Projects'!$C$6:$C$155="3.2 - Office of The Chief Operations Officer",'2014-2017 Projects'!$BV$6:$BV$155,0))</f>
        <v>19586.3</v>
      </c>
      <c r="AJ26" s="145">
        <f t="shared" si="11"/>
        <v>500000</v>
      </c>
      <c r="AK26" s="145">
        <f t="shared" si="12"/>
        <v>500000</v>
      </c>
      <c r="AL26" s="453">
        <f t="shared" si="13"/>
        <v>0</v>
      </c>
      <c r="AM26" s="453">
        <f t="shared" si="14"/>
        <v>0</v>
      </c>
      <c r="AN26" s="158"/>
      <c r="AO26" s="158"/>
      <c r="AP26" s="158"/>
      <c r="AQ26" s="158"/>
      <c r="AR26" s="158"/>
      <c r="AS26" s="316"/>
      <c r="AT26" s="333"/>
      <c r="AU26" s="333"/>
      <c r="AV26" s="333"/>
      <c r="AW26" s="156"/>
    </row>
    <row r="27" spans="1:49" s="134" customFormat="1">
      <c r="A27" s="171" t="s">
        <v>227</v>
      </c>
      <c r="B27" s="145">
        <f t="array" ref="B27">SUM(IF('2014-2017 Projects'!$A$6:$A$177="Financial Services",'2014-2017 Projects'!$AG$6:$AG$177,0))</f>
        <v>0</v>
      </c>
      <c r="C27" s="145">
        <f t="array" ref="C27">SUM(IF('2014-2017 Projects'!$A$6:$A$177="Financial Services",'2014-2017 Projects'!$AG$6:$AG$177,0))</f>
        <v>0</v>
      </c>
      <c r="D27" s="145">
        <f t="array" ref="D27">SUM(IF('2014-2017 Projects'!$A$6:$A$177="Financial Services",'2014-2017 Projects'!$AG$6:$AG$177,0))</f>
        <v>0</v>
      </c>
      <c r="E27" s="145">
        <f t="array" ref="E27">SUM(IF('2014-2017 Projects'!$A$6:$A$177="Financial Services",'2014-2017 Projects'!$AH$6:$AH$177,0))</f>
        <v>0</v>
      </c>
      <c r="F27" s="145">
        <f t="array" ref="F27">SUM(IF('2014-2017 Projects'!$A$6:$A$177="Financial Services",'2014-2017 Projects'!$AI$6:$AI$177,0))</f>
        <v>0</v>
      </c>
      <c r="G27" s="145"/>
      <c r="H27" s="145">
        <f t="array" ref="H27">SUM(IF('2014-2017 Projects'!$C$6:$C$155="3.3 - Housing Department",'2014-2017 Projects'!$AK$6:$AK$155,0))</f>
        <v>79567608</v>
      </c>
      <c r="I27" s="145">
        <f t="array" ref="I27">SUM(IF('2014-2017 Projects'!$C$6:$C$155="3.3 - Housing Department",'2014-2017 Projects'!$AL$6:$AL$155,0))</f>
        <v>4419423.2700000005</v>
      </c>
      <c r="J27" s="145">
        <f t="array" ref="J27">SUM(IF('2014-2017 Projects'!$C$6:$C$155="3.3 - Housing Department",'2014-2017 Projects'!$AN$6:$AN$155,0))</f>
        <v>4723842.5200000005</v>
      </c>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f t="array" ref="AG27">SUM(IF('2014-2017 Projects'!$C$6:$C$155="3.3 - Housing Department",'2014-2017 Projects'!$BW$6:$BW$155,0))</f>
        <v>4419423.2700000005</v>
      </c>
      <c r="AH27" s="145">
        <f t="array" ref="AH27">SUM(IF('2014-2017 Projects'!$C$6:$C$155="3.3 - Housing Department",'2014-2017 Projects'!$BX$6:$BX$155,0))</f>
        <v>4723842.5200000005</v>
      </c>
      <c r="AI27" s="145">
        <f t="array" ref="AI27">SUM(IF('2014-2017 Projects'!$C$6:$C$155="3.3 - Housing Department",'2014-2017 Projects'!$BV$6:$BV$155,0))</f>
        <v>0</v>
      </c>
      <c r="AJ27" s="145">
        <f t="shared" si="11"/>
        <v>75148184.730000004</v>
      </c>
      <c r="AK27" s="145">
        <f t="shared" si="12"/>
        <v>74843765.480000004</v>
      </c>
      <c r="AL27" s="453">
        <f t="shared" si="13"/>
        <v>5.5542995209809508E-2</v>
      </c>
      <c r="AM27" s="453">
        <f t="shared" si="14"/>
        <v>5.936891454623093E-2</v>
      </c>
      <c r="AN27" s="158"/>
      <c r="AO27" s="158"/>
      <c r="AP27" s="158"/>
      <c r="AQ27" s="158"/>
      <c r="AR27" s="158"/>
      <c r="AS27" s="316"/>
      <c r="AT27" s="333"/>
      <c r="AU27" s="333"/>
      <c r="AV27" s="333"/>
      <c r="AW27" s="156"/>
    </row>
    <row r="28" spans="1:49" s="134" customFormat="1">
      <c r="A28" s="466" t="s">
        <v>645</v>
      </c>
      <c r="B28" s="145"/>
      <c r="C28" s="145"/>
      <c r="D28" s="145"/>
      <c r="E28" s="145"/>
      <c r="F28" s="145"/>
      <c r="G28" s="145"/>
      <c r="H28" s="145">
        <f t="array" ref="H28">SUM(IF('2014-2017 Projects'!$C$6:$C$155="4.1 - Office of The Director of Finance",'2014-2017 Projects'!$AK$6:$AK$155,0))</f>
        <v>500000</v>
      </c>
      <c r="I28" s="145">
        <f t="array" ref="I28">SUM(IF('2014-2017 Projects'!$C$6:$C$155="4.1 - Office of The Director of Finance",'2014-2017 Projects'!$AL$6:$AL$155,0))</f>
        <v>19074.32</v>
      </c>
      <c r="J28" s="145">
        <f t="array" ref="J28">SUM(IF('2014-2017 Projects'!$C$6:$C$155="4.1 - Office of The Director of Finance",'2014-2017 Projects'!$AN$6:$AN$155,0))</f>
        <v>19074.32</v>
      </c>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f t="array" ref="AG28">SUM(IF('2014-2017 Projects'!$C$6:$C$155="4.1 - Office of The Director of Finance",'2014-2017 Projects'!$BW$6:$BW$155,0))</f>
        <v>19074.32</v>
      </c>
      <c r="AH28" s="145">
        <f t="array" ref="AH28">SUM(IF('2014-2017 Projects'!$C$6:$C$155="4.1 - Office of The Director of Finance",'2014-2017 Projects'!$BX$6:$BX$155,0))</f>
        <v>19074.32</v>
      </c>
      <c r="AI28" s="145">
        <f t="array" ref="AI28">SUM(IF('2014-2017 Projects'!$C$6:$C$155="4.1 - Office of The Director of Finance",'2014-2017 Projects'!$BV$6:$BV$155,0))</f>
        <v>0</v>
      </c>
      <c r="AJ28" s="145">
        <f t="shared" ref="AJ28" si="19">H28-AG28</f>
        <v>480925.68</v>
      </c>
      <c r="AK28" s="145">
        <f t="shared" ref="AK28" si="20">H28-AH28</f>
        <v>480925.68</v>
      </c>
      <c r="AL28" s="453">
        <f t="shared" ref="AL28" si="21">AG28/H28</f>
        <v>3.8148639999999998E-2</v>
      </c>
      <c r="AM28" s="453">
        <f t="shared" ref="AM28" si="22">AH28/H28</f>
        <v>3.8148639999999998E-2</v>
      </c>
      <c r="AN28" s="158"/>
      <c r="AO28" s="158"/>
      <c r="AP28" s="158"/>
      <c r="AQ28" s="158"/>
      <c r="AR28" s="158"/>
      <c r="AS28" s="316"/>
      <c r="AT28" s="333"/>
      <c r="AU28" s="333"/>
      <c r="AV28" s="333"/>
      <c r="AW28" s="156"/>
    </row>
    <row r="29" spans="1:49" s="134" customFormat="1">
      <c r="A29" s="171" t="s">
        <v>627</v>
      </c>
      <c r="B29" s="145">
        <f t="array" ref="B29">SUM(IF('2014-2017 Projects'!$A$6:$A$177="Corporate Services",'2014-2017 Projects'!$AG$6:$AG$177,0))</f>
        <v>6600000</v>
      </c>
      <c r="C29" s="145">
        <f t="array" ref="C29">SUM(IF('2014-2017 Projects'!$A$6:$A$177="Corporate Services",'2014-2017 Projects'!$AG$6:$AG$177,0))</f>
        <v>6600000</v>
      </c>
      <c r="D29" s="145">
        <f t="array" ref="D29">SUM(IF('2014-2017 Projects'!$A$6:$A$177="Corporate Services",'2014-2017 Projects'!$AG$6:$AG$177,0))</f>
        <v>6600000</v>
      </c>
      <c r="E29" s="145">
        <f t="array" ref="E29">SUM(IF('2014-2017 Projects'!$A$6:$A$177="Corporate Services",'2014-2017 Projects'!$AH$6:$AH$177,0))</f>
        <v>0</v>
      </c>
      <c r="F29" s="145">
        <f t="array" ref="F29">SUM(IF('2014-2017 Projects'!$A$6:$A$177="Corporate Services",'2014-2017 Projects'!$AI$6:$AI$177,0))</f>
        <v>6600000</v>
      </c>
      <c r="G29" s="145"/>
      <c r="H29" s="145">
        <f t="array" ref="H29">SUM(IF('2014-2017 Projects'!$C$6:$C$155="4.4 - Asset Risk &amp; Financial Services ",'2014-2017 Projects'!$AK$6:$AK$155,0))</f>
        <v>10000000</v>
      </c>
      <c r="I29" s="145">
        <f t="array" ref="I29">SUM(IF('2014-2017 Projects'!$C$6:$C$155="4.4 - Asset Risk &amp; Financial Services ",'2014-2017 Projects'!$AL$6:$AL$155,0))</f>
        <v>0</v>
      </c>
      <c r="J29" s="145">
        <f t="array" ref="J29">SUM(IF('2014-2017 Projects'!$C$6:$C$155="4.4 - Asset Risk &amp; Financial Services ",'2014-2017 Projects'!$AN$6:$AN$155,0))</f>
        <v>0</v>
      </c>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f t="array" ref="AG29">SUM(IF('2014-2017 Projects'!$C$6:$C$155="4.4 - Asset Risk &amp; Financial Services ",'2014-2017 Projects'!$BW$6:$BW$155,0))</f>
        <v>0</v>
      </c>
      <c r="AH29" s="145">
        <f t="array" ref="AH29">SUM(IF('2014-2017 Projects'!$C$6:$C$155="4.4 - Asset Risk &amp; Financial Services ",'2014-2017 Projects'!$BX$6:$BX$155,0))</f>
        <v>0</v>
      </c>
      <c r="AI29" s="145">
        <f t="array" ref="AI29">SUM(IF('2014-2017 Projects'!$C$6:$C$155="4.4 - Asset Risk &amp; Financial Services ",'2014-2017 Projects'!$BV$6:$BV$155,0))</f>
        <v>0</v>
      </c>
      <c r="AJ29" s="145">
        <f t="shared" si="11"/>
        <v>10000000</v>
      </c>
      <c r="AK29" s="145">
        <f t="shared" si="12"/>
        <v>10000000</v>
      </c>
      <c r="AL29" s="453">
        <f t="shared" si="13"/>
        <v>0</v>
      </c>
      <c r="AM29" s="453">
        <f t="shared" si="14"/>
        <v>0</v>
      </c>
      <c r="AN29" s="158"/>
      <c r="AO29" s="158"/>
      <c r="AP29" s="158"/>
      <c r="AQ29" s="158"/>
      <c r="AR29" s="158"/>
      <c r="AS29" s="316"/>
      <c r="AT29" s="333"/>
      <c r="AU29" s="333"/>
      <c r="AV29" s="333"/>
      <c r="AW29" s="156"/>
    </row>
    <row r="30" spans="1:49" s="134" customFormat="1">
      <c r="A30" s="171" t="s">
        <v>629</v>
      </c>
      <c r="B30" s="145">
        <f t="array" ref="B30">SUM(IF('2014-2017 Projects'!$A$6:$A$177="Chief Operations Officer",'2014-2017 Projects'!$AG$6:$AG$177,0))</f>
        <v>0</v>
      </c>
      <c r="C30" s="145">
        <f t="array" ref="C30">SUM(IF('2014-2017 Projects'!$A$6:$A$177="Chief Operations Officer",'2014-2017 Projects'!$AG$6:$AG$177,0))</f>
        <v>0</v>
      </c>
      <c r="D30" s="145">
        <f t="array" ref="D30">SUM(IF('2014-2017 Projects'!$A$6:$A$177="Chief Operations Officer",'2014-2017 Projects'!$AG$6:$AG$177,0))</f>
        <v>0</v>
      </c>
      <c r="E30" s="145">
        <f t="array" ref="E30">SUM(IF('2014-2017 Projects'!$A$6:$A$177="Chief Operations Officer",'2014-2017 Projects'!$AH$6:$AH$177,0))</f>
        <v>0</v>
      </c>
      <c r="F30" s="145">
        <f t="array" ref="F30">SUM(IF('2014-2017 Projects'!$A$6:$A$177="Chief Operations Officer",'2014-2017 Projects'!$AI$6:$AI$177,0))</f>
        <v>0</v>
      </c>
      <c r="G30" s="145">
        <f t="array" ref="G30">SUM(IF('2014-2017 Projects'!$A$6:$A$177="Chief Operations Officer",'2014-2017 Projects'!$AG$6:$AG$177,0))</f>
        <v>0</v>
      </c>
      <c r="H30" s="145">
        <f t="array" ref="H30">SUM(IF('2014-2017 Projects'!$C$6:$C$155="4.3 - Budget Office",'2014-2017 Projects'!$AK$6:$AK$155,0))</f>
        <v>0</v>
      </c>
      <c r="I30" s="145">
        <f t="array" ref="I30">SUM(IF('2014-2017 Projects'!$C$6:$C$155="4.3 - Budget Office",'2014-2017 Projects'!$AL$6:$AL$155,0))</f>
        <v>0</v>
      </c>
      <c r="J30" s="145">
        <f t="array" ref="J30">SUM(IF('2014-2017 Projects'!$C$6:$C$155="4.3 - Budget Office",'2014-2017 Projects'!$AN$6:$AN$155,0))</f>
        <v>0</v>
      </c>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f t="array" ref="AG30">SUM(IF('2014-2017 Projects'!$C$6:$C$155="4.3 - Budget Office",'2014-2017 Projects'!$BW$6:$BW$155,0))</f>
        <v>0</v>
      </c>
      <c r="AH30" s="145">
        <f t="array" ref="AH30">SUM(IF('2014-2017 Projects'!$C$6:$C$155="4.3 - Budget Office",'2014-2017 Projects'!$BX$6:$BX$155,0))</f>
        <v>0</v>
      </c>
      <c r="AI30" s="145">
        <f t="array" ref="AI30">SUM(IF('2014-2017 Projects'!$C$6:$C$155="4.3 - Budget Office",'2014-2017 Projects'!$BV$6:$BV$155,0))</f>
        <v>0</v>
      </c>
      <c r="AJ30" s="145">
        <f t="shared" si="11"/>
        <v>0</v>
      </c>
      <c r="AK30" s="145">
        <f t="shared" si="12"/>
        <v>0</v>
      </c>
      <c r="AL30" s="453" t="e">
        <f t="shared" si="13"/>
        <v>#DIV/0!</v>
      </c>
      <c r="AM30" s="453" t="e">
        <f t="shared" si="14"/>
        <v>#DIV/0!</v>
      </c>
      <c r="AN30" s="158"/>
      <c r="AO30" s="158"/>
      <c r="AP30" s="158"/>
      <c r="AQ30" s="158"/>
      <c r="AR30" s="158"/>
      <c r="AS30" s="316"/>
      <c r="AT30" s="333"/>
      <c r="AU30" s="333"/>
      <c r="AV30" s="333"/>
      <c r="AW30" s="156"/>
    </row>
    <row r="31" spans="1:49" s="134" customFormat="1">
      <c r="A31" s="463" t="s">
        <v>630</v>
      </c>
      <c r="B31" s="145">
        <f t="array" ref="B31">SUM(IF('2014-2017 Projects'!$A$6:$A$177="Financial Services",'2014-2017 Projects'!$AG$6:$AG$177,0))</f>
        <v>0</v>
      </c>
      <c r="C31" s="145">
        <f t="array" ref="C31">SUM(IF('2014-2017 Projects'!$A$6:$A$177="Financial Services",'2014-2017 Projects'!$AG$6:$AG$177,0))</f>
        <v>0</v>
      </c>
      <c r="D31" s="145">
        <f t="array" ref="D31">SUM(IF('2014-2017 Projects'!$A$6:$A$177="Financial Services",'2014-2017 Projects'!$AG$6:$AG$177,0))</f>
        <v>0</v>
      </c>
      <c r="E31" s="145">
        <f t="array" ref="E31">SUM(IF('2014-2017 Projects'!$A$6:$A$177="Financial Services",'2014-2017 Projects'!$AH$6:$AH$177,0))</f>
        <v>0</v>
      </c>
      <c r="F31" s="145">
        <f t="array" ref="F31">SUM(IF('2014-2017 Projects'!$A$6:$A$177="Financial Services",'2014-2017 Projects'!$AI$6:$AI$177,0))</f>
        <v>0</v>
      </c>
      <c r="G31" s="145"/>
      <c r="H31" s="145">
        <f t="array" ref="H31">SUM(IF('2014-2017 Projects'!$C$6:$C$155="4.7 - Salary Office",'2014-2017 Projects'!$AK$6:$AK$155,0))</f>
        <v>0</v>
      </c>
      <c r="I31" s="145">
        <f t="array" ref="I31">SUM(IF('2014-2017 Projects'!$C$6:$C$155="4.7 - Salary Office",'2014-2017 Projects'!$AL$6:$AL$155,0))</f>
        <v>0</v>
      </c>
      <c r="J31" s="145">
        <f t="array" ref="J31">SUM(IF('2014-2017 Projects'!$C$6:$C$155="4.7 - Salary Office",'2014-2017 Projects'!$AN$6:$AN$155,0))</f>
        <v>0</v>
      </c>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f t="array" ref="AG31">SUM(IF('2014-2017 Projects'!$C$6:$C$155="4.7 - Salary Office",'2014-2017 Projects'!$BW$6:$BW$155,0))</f>
        <v>0</v>
      </c>
      <c r="AH31" s="145">
        <f t="array" ref="AH31">SUM(IF('2014-2017 Projects'!$C$6:$C$155="4.7 - Salary Office",'2014-2017 Projects'!$BX$6:$BX$155,0))</f>
        <v>0</v>
      </c>
      <c r="AI31" s="145">
        <f t="array" ref="AI31">SUM(IF('2014-2017 Projects'!$C$6:$C$155="4.7 - Salary Office",'2014-2017 Projects'!$BV$6:$BV$155,0))</f>
        <v>0</v>
      </c>
      <c r="AJ31" s="145">
        <f t="shared" si="11"/>
        <v>0</v>
      </c>
      <c r="AK31" s="145">
        <f t="shared" si="12"/>
        <v>0</v>
      </c>
      <c r="AL31" s="453" t="e">
        <f t="shared" si="13"/>
        <v>#DIV/0!</v>
      </c>
      <c r="AM31" s="453" t="e">
        <f t="shared" si="14"/>
        <v>#DIV/0!</v>
      </c>
      <c r="AN31" s="158"/>
      <c r="AO31" s="158"/>
      <c r="AP31" s="158"/>
      <c r="AQ31" s="158"/>
      <c r="AR31" s="158"/>
      <c r="AS31" s="316"/>
      <c r="AT31" s="333"/>
      <c r="AU31" s="333"/>
      <c r="AV31" s="333"/>
      <c r="AW31" s="156"/>
    </row>
    <row r="32" spans="1:49" s="134" customFormat="1">
      <c r="A32" s="463" t="s">
        <v>646</v>
      </c>
      <c r="B32" s="145"/>
      <c r="C32" s="145"/>
      <c r="D32" s="145"/>
      <c r="E32" s="145"/>
      <c r="F32" s="145"/>
      <c r="G32" s="145"/>
      <c r="H32" s="145">
        <f t="array" ref="H32">SUM(IF('2014-2017 Projects'!$C$6:$C$155="4.9 - Consolidated Billing &amp; Miscellaneous Revenue Office",'2014-2017 Projects'!$AK$6:$AK$155,0))</f>
        <v>350000</v>
      </c>
      <c r="I32" s="145">
        <f t="array" ref="I32">SUM(IF('2014-2017 Projects'!$C$6:$C$155="4.9 - Consolidated Billing &amp; Miscellaneous Revenue Office",'2014-2017 Projects'!$AL$6:$AL$155,0))</f>
        <v>0</v>
      </c>
      <c r="J32" s="145">
        <f t="array" ref="J32">SUM(IF('2014-2017 Projects'!$C$6:$C$155="4.9 - Consolidated Billing &amp; Miscellaneous Revenue Office",'2014-2017 Projects'!$AN$6:$AN$155,0))</f>
        <v>0</v>
      </c>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f t="array" ref="AG32">SUM(IF('2014-2017 Projects'!$C$6:$C$155="4.9 - Consolidated Billing &amp; Miscellaneous Revenue Office",'2014-2017 Projects'!$BW$6:$BW$155,0))</f>
        <v>0</v>
      </c>
      <c r="AH32" s="145">
        <f t="array" ref="AH32">SUM(IF('2014-2017 Projects'!$C$6:$C$155="4.9 - Consolidated Billing &amp; Miscellaneous Revenue Office",'2014-2017 Projects'!$BX$6:$BX$155,0))</f>
        <v>0</v>
      </c>
      <c r="AI32" s="145">
        <f t="array" ref="AI32">SUM(IF('2014-2017 Projects'!$C$6:$C$155="4.9 - Consolidated Billing &amp; Miscellaneous Revenue Office",'2014-2017 Projects'!$BV$6:$BV$155,0))</f>
        <v>0</v>
      </c>
      <c r="AJ32" s="145">
        <f t="shared" ref="AJ32" si="23">H32-AG32</f>
        <v>350000</v>
      </c>
      <c r="AK32" s="145">
        <f t="shared" ref="AK32" si="24">H32-AH32</f>
        <v>350000</v>
      </c>
      <c r="AL32" s="453">
        <f t="shared" ref="AL32" si="25">AG32/H32</f>
        <v>0</v>
      </c>
      <c r="AM32" s="453">
        <f t="shared" ref="AM32" si="26">AH32/H32</f>
        <v>0</v>
      </c>
      <c r="AN32" s="158"/>
      <c r="AO32" s="158"/>
      <c r="AP32" s="158"/>
      <c r="AQ32" s="158"/>
      <c r="AR32" s="158"/>
      <c r="AS32" s="316"/>
      <c r="AT32" s="333"/>
      <c r="AU32" s="333"/>
      <c r="AV32" s="333"/>
      <c r="AW32" s="156"/>
    </row>
    <row r="33" spans="1:49" s="134" customFormat="1">
      <c r="A33" s="171" t="s">
        <v>628</v>
      </c>
      <c r="B33" s="145">
        <f t="array" ref="B33">SUM(IF('2014-2017 Projects'!$A$6:$A$198="Municipal Manager's Office",'2014-2017 Projects'!$AG$6:$AG$198,0))</f>
        <v>12750000</v>
      </c>
      <c r="C33" s="145">
        <f t="array" ref="C33">SUM(IF('2014-2017 Projects'!$A$6:$A$198="Municipal Manager's Office",'2014-2017 Projects'!$AG$6:$AG$198,0))</f>
        <v>12750000</v>
      </c>
      <c r="D33" s="145">
        <f t="array" ref="D33">SUM(IF('2014-2017 Projects'!$A$6:$A$198="Municipal Manager's Office",'2014-2017 Projects'!$AG$6:$AG$198,0))</f>
        <v>12750000</v>
      </c>
      <c r="E33" s="145">
        <f t="array" ref="E33">SUM(IF('2014-2017 Projects'!$A$6:$A$198="Municipal Manager's Office",'2014-2017 Projects'!$AH$6:$AH$198,0))</f>
        <v>-10000000</v>
      </c>
      <c r="F33" s="145">
        <f t="array" ref="F33">SUM(IF('2014-2017 Projects'!$A$6:$A$198="Municipal Manager's Office",'2014-2017 Projects'!$AI$6:$AI$198,0))</f>
        <v>2750000</v>
      </c>
      <c r="G33" s="145"/>
      <c r="H33" s="145">
        <f t="array" ref="H33">SUM(IF('2014-2017 Projects'!$C$6:$C$155="4.10 - Debtors Management Office",'2014-2017 Projects'!$AK$6:$AK$155,0))</f>
        <v>0</v>
      </c>
      <c r="I33" s="145">
        <f t="array" ref="I33">SUM(IF('2014-2017 Projects'!$C$6:$C$155="4.10 - Debtors Management Office",'2014-2017 Projects'!$AL$6:$AL$155,0))</f>
        <v>0</v>
      </c>
      <c r="J33" s="145">
        <f t="array" ref="J33">SUM(IF('2014-2017 Projects'!$C$6:$C$155="4.10 - Debtors Management Office",'2014-2017 Projects'!$AN$6:$AN$155,0))</f>
        <v>0</v>
      </c>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f t="array" ref="AG33">SUM(IF('2014-2017 Projects'!$C$6:$C$155="4.10 - Debtors Management Office",'2014-2017 Projects'!$BW$6:$BW$155,0))</f>
        <v>0</v>
      </c>
      <c r="AH33" s="145">
        <f t="array" ref="AH33">SUM(IF('2014-2017 Projects'!$C$6:$C$155="4.10 - Debtors Management Office",'2014-2017 Projects'!$BX$6:$BX$155,0))</f>
        <v>0</v>
      </c>
      <c r="AI33" s="145">
        <f t="array" ref="AI33">SUM(IF('2014-2017 Projects'!$C$6:$C$155="4.10 - Debtors Management Office",'2014-2017 Projects'!$BV$6:$BV$155,0))</f>
        <v>0</v>
      </c>
      <c r="AJ33" s="145">
        <f>H33-AG33</f>
        <v>0</v>
      </c>
      <c r="AK33" s="145">
        <f>H33-AH33</f>
        <v>0</v>
      </c>
      <c r="AL33" s="453" t="e">
        <f>AG33/H33</f>
        <v>#DIV/0!</v>
      </c>
      <c r="AM33" s="453" t="e">
        <f>AH33/H33</f>
        <v>#DIV/0!</v>
      </c>
      <c r="AN33" s="158"/>
      <c r="AO33" s="158"/>
      <c r="AP33" s="158"/>
      <c r="AQ33" s="158"/>
      <c r="AR33" s="158"/>
      <c r="AS33" s="316"/>
      <c r="AT33" s="333"/>
      <c r="AU33" s="333"/>
      <c r="AV33" s="333"/>
      <c r="AW33" s="156"/>
    </row>
    <row r="34" spans="1:49" s="134" customFormat="1">
      <c r="A34" s="171" t="s">
        <v>647</v>
      </c>
      <c r="B34" s="145"/>
      <c r="C34" s="145"/>
      <c r="D34" s="145"/>
      <c r="E34" s="145"/>
      <c r="F34" s="145"/>
      <c r="G34" s="145"/>
      <c r="H34" s="145">
        <f t="array" ref="H34">SUM(IF('2014-2017 Projects'!$C$6:$C$155="4.11 - Customer Care Office",'2014-2017 Projects'!$AK$6:$AK$155,0))</f>
        <v>1500000</v>
      </c>
      <c r="I34" s="145">
        <f t="array" ref="I34">SUM(IF('2014-2017 Projects'!$C$6:$C$155="4.11 - Customer Care Office",'2014-2017 Projects'!$AL$6:$AL$155,0))</f>
        <v>0</v>
      </c>
      <c r="J34" s="145">
        <f t="array" ref="J34">SUM(IF('2014-2017 Projects'!$C$6:$C$155="4.11 - Customer Care Office",'2014-2017 Projects'!$AN$6:$AN$155,0))</f>
        <v>0</v>
      </c>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f t="array" ref="AG34">SUM(IF('2014-2017 Projects'!$C$6:$C$155="4.11 - Customer Care Office",'2014-2017 Projects'!$BW$6:$BW$155,0))</f>
        <v>0</v>
      </c>
      <c r="AH34" s="145">
        <f t="array" ref="AH34">SUM(IF('2014-2017 Projects'!$C$6:$C$155="4.11 - Customer Care Office",'2014-2017 Projects'!$BX$6:$BX$155,0))</f>
        <v>0</v>
      </c>
      <c r="AI34" s="145">
        <f t="array" ref="AI34">SUM(IF('2014-2017 Projects'!$C$6:$C$155="4.11 - Customer Care Office",'2014-2017 Projects'!$BV$6:$BV$155,0))</f>
        <v>0</v>
      </c>
      <c r="AJ34" s="145">
        <f>H34-AG34</f>
        <v>1500000</v>
      </c>
      <c r="AK34" s="145">
        <f>H34-AH34</f>
        <v>1500000</v>
      </c>
      <c r="AL34" s="453">
        <f>AG34/H34</f>
        <v>0</v>
      </c>
      <c r="AM34" s="453">
        <f>AH34/H34</f>
        <v>0</v>
      </c>
      <c r="AN34" s="158"/>
      <c r="AO34" s="158"/>
      <c r="AP34" s="158"/>
      <c r="AQ34" s="158"/>
      <c r="AR34" s="158"/>
      <c r="AS34" s="316"/>
      <c r="AT34" s="333"/>
      <c r="AU34" s="333"/>
      <c r="AV34" s="333"/>
      <c r="AW34" s="156"/>
    </row>
    <row r="35" spans="1:49" s="134" customFormat="1">
      <c r="A35" s="463" t="s">
        <v>631</v>
      </c>
      <c r="B35" s="145">
        <f t="array" ref="B35">SUM(IF('2014-2017 Projects'!$A$6:$A$177="Corporate Services",'2014-2017 Projects'!$AG$6:$AG$177,0))</f>
        <v>6600000</v>
      </c>
      <c r="C35" s="145">
        <f t="array" ref="C35">SUM(IF('2014-2017 Projects'!$A$6:$A$177="Corporate Services",'2014-2017 Projects'!$AG$6:$AG$177,0))</f>
        <v>6600000</v>
      </c>
      <c r="D35" s="145">
        <f t="array" ref="D35">SUM(IF('2014-2017 Projects'!$A$6:$A$177="Corporate Services",'2014-2017 Projects'!$AG$6:$AG$177,0))</f>
        <v>6600000</v>
      </c>
      <c r="E35" s="145">
        <f t="array" ref="E35">SUM(IF('2014-2017 Projects'!$A$6:$A$177="Corporate Services",'2014-2017 Projects'!$AH$6:$AH$177,0))</f>
        <v>0</v>
      </c>
      <c r="F35" s="145">
        <f t="array" ref="F35">SUM(IF('2014-2017 Projects'!$A$6:$A$177="Corporate Services",'2014-2017 Projects'!$AI$6:$AI$177,0))</f>
        <v>6600000</v>
      </c>
      <c r="G35" s="145"/>
      <c r="H35" s="145">
        <f t="array" ref="H35">SUM(IF('2014-2017 Projects'!$C$6:$C$155="5.1 - Office of The Director of Corporate Services",'2014-2017 Projects'!$AK$6:$AK$155,0))</f>
        <v>500000</v>
      </c>
      <c r="I35" s="145">
        <f t="array" ref="I35">SUM(IF('2014-2017 Projects'!$C$6:$C$155="5.1 - Office of The Director of Corporate Services",'2014-2017 Projects'!$AL$6:$AL$155,0))</f>
        <v>0</v>
      </c>
      <c r="J35" s="145">
        <f t="array" ref="J35">SUM(IF('2014-2017 Projects'!$C$6:$C$155="5.1 - Office of The Director of Corporate Services",'2014-2017 Projects'!$AN$6:$AN$155,0))</f>
        <v>0</v>
      </c>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f t="array" ref="AG35">SUM(IF('2014-2017 Projects'!$C$6:$C$155="5.1 - Office of The Director of Corporate Services",'2014-2017 Projects'!$BW$6:$BW$155,0))</f>
        <v>0</v>
      </c>
      <c r="AH35" s="145">
        <f t="array" ref="AH35">SUM(IF('2014-2017 Projects'!$C$6:$C$155="5.1 - Office of The Director of Corporate Services",'2014-2017 Projects'!$BX$6:$BX$155,0))</f>
        <v>0</v>
      </c>
      <c r="AI35" s="145">
        <f t="array" ref="AI35">SUM(IF('2014-2017 Projects'!$C$6:$C$155="5.1 - Office of The Director of Corporate Services",'2014-2017 Projects'!$BV$6:$BV$155,0))</f>
        <v>0</v>
      </c>
      <c r="AJ35" s="145">
        <f t="shared" si="11"/>
        <v>500000</v>
      </c>
      <c r="AK35" s="145">
        <f t="shared" si="12"/>
        <v>500000</v>
      </c>
      <c r="AL35" s="453">
        <f t="shared" si="13"/>
        <v>0</v>
      </c>
      <c r="AM35" s="453">
        <f t="shared" si="14"/>
        <v>0</v>
      </c>
      <c r="AN35" s="158"/>
      <c r="AO35" s="158"/>
      <c r="AP35" s="158"/>
      <c r="AQ35" s="158"/>
      <c r="AR35" s="158"/>
      <c r="AS35" s="316"/>
      <c r="AT35" s="333"/>
      <c r="AU35" s="333"/>
      <c r="AV35" s="333"/>
      <c r="AW35" s="156"/>
    </row>
    <row r="36" spans="1:49" s="134" customFormat="1">
      <c r="A36" s="171" t="s">
        <v>228</v>
      </c>
      <c r="B36" s="145">
        <f t="array" ref="B36">SUM(IF('2014-2017 Projects'!$A$6:$A$177="Chief Operations Officer",'2014-2017 Projects'!$AG$6:$AG$177,0))</f>
        <v>0</v>
      </c>
      <c r="C36" s="145">
        <f t="array" ref="C36">SUM(IF('2014-2017 Projects'!$A$6:$A$177="Chief Operations Officer",'2014-2017 Projects'!$AG$6:$AG$177,0))</f>
        <v>0</v>
      </c>
      <c r="D36" s="145">
        <f t="array" ref="D36">SUM(IF('2014-2017 Projects'!$A$6:$A$177="Chief Operations Officer",'2014-2017 Projects'!$AG$6:$AG$177,0))</f>
        <v>0</v>
      </c>
      <c r="E36" s="145">
        <f t="array" ref="E36">SUM(IF('2014-2017 Projects'!$A$6:$A$177="Chief Operations Officer",'2014-2017 Projects'!$AH$6:$AH$177,0))</f>
        <v>0</v>
      </c>
      <c r="F36" s="145">
        <f t="array" ref="F36">SUM(IF('2014-2017 Projects'!$A$6:$A$177="Chief Operations Officer",'2014-2017 Projects'!$AI$6:$AI$177,0))</f>
        <v>0</v>
      </c>
      <c r="G36" s="145">
        <f t="array" ref="G36">SUM(IF('2014-2017 Projects'!$A$6:$A$177="Chief Operations Officer",'2014-2017 Projects'!$AG$6:$AG$177,0))</f>
        <v>0</v>
      </c>
      <c r="H36" s="145">
        <f t="array" ref="H36">SUM(IF('2014-2017 Projects'!$C$6:$C$155="5.6 - Management Information Services",'2014-2017 Projects'!$AK$6:$AK$155,0))</f>
        <v>10000000</v>
      </c>
      <c r="I36" s="145">
        <f t="array" ref="I36">SUM(IF('2014-2017 Projects'!$C$6:$C$155="5.6 - Management Information Services",'2014-2017 Projects'!$AL$6:$AL$155,0))</f>
        <v>0</v>
      </c>
      <c r="J36" s="145">
        <f t="array" ref="J36">SUM(IF('2014-2017 Projects'!$C$6:$C$155="5.6 - Management Information Services",'2014-2017 Projects'!$AN$6:$AN$155,0))</f>
        <v>0</v>
      </c>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f t="array" ref="AG36">SUM(IF('2014-2017 Projects'!$C$6:$C$155="5.6 - Management Information Services",'2014-2017 Projects'!$BW$6:$BW$155,0))</f>
        <v>0</v>
      </c>
      <c r="AH36" s="145">
        <f t="array" ref="AH36">SUM(IF('2014-2017 Projects'!$C$6:$C$155="5.6 - Management Information Services",'2014-2017 Projects'!$BX$6:$BX$155,0))</f>
        <v>0</v>
      </c>
      <c r="AI36" s="145">
        <f t="array" ref="AI36">SUM(IF('2014-2017 Projects'!$C$6:$C$155="5.6 - Management Information Services",'2014-2017 Projects'!$BV$6:$BV$155,0))</f>
        <v>0</v>
      </c>
      <c r="AJ36" s="145">
        <f t="shared" si="11"/>
        <v>10000000</v>
      </c>
      <c r="AK36" s="145">
        <f t="shared" si="12"/>
        <v>10000000</v>
      </c>
      <c r="AL36" s="453">
        <f t="shared" si="13"/>
        <v>0</v>
      </c>
      <c r="AM36" s="453">
        <f t="shared" si="14"/>
        <v>0</v>
      </c>
      <c r="AN36" s="158"/>
      <c r="AO36" s="158"/>
      <c r="AP36" s="158"/>
      <c r="AQ36" s="158"/>
      <c r="AR36" s="158"/>
      <c r="AS36" s="316"/>
      <c r="AT36" s="333"/>
      <c r="AU36" s="333"/>
      <c r="AV36" s="333"/>
      <c r="AW36" s="156"/>
    </row>
    <row r="37" spans="1:49" s="134" customFormat="1">
      <c r="A37" s="171" t="s">
        <v>633</v>
      </c>
      <c r="B37" s="145">
        <f t="array" ref="B37">SUM(IF('2014-2017 Projects'!$A$6:$A$177="Financial Services",'2014-2017 Projects'!$AG$6:$AG$177,0))</f>
        <v>0</v>
      </c>
      <c r="C37" s="145">
        <f t="array" ref="C37">SUM(IF('2014-2017 Projects'!$A$6:$A$177="Financial Services",'2014-2017 Projects'!$AG$6:$AG$177,0))</f>
        <v>0</v>
      </c>
      <c r="D37" s="145">
        <f t="array" ref="D37">SUM(IF('2014-2017 Projects'!$A$6:$A$177="Financial Services",'2014-2017 Projects'!$AG$6:$AG$177,0))</f>
        <v>0</v>
      </c>
      <c r="E37" s="145">
        <f t="array" ref="E37">SUM(IF('2014-2017 Projects'!$A$6:$A$177="Financial Services",'2014-2017 Projects'!$AH$6:$AH$177,0))</f>
        <v>0</v>
      </c>
      <c r="F37" s="145">
        <f t="array" ref="F37">SUM(IF('2014-2017 Projects'!$A$6:$A$177="Financial Services",'2014-2017 Projects'!$AI$6:$AI$177,0))</f>
        <v>0</v>
      </c>
      <c r="G37" s="145"/>
      <c r="H37" s="145">
        <f t="array" ref="H37">SUM(IF('2014-2017 Projects'!$C$6:$C$155="5.7 - H.R. Administration",'2014-2017 Projects'!$AK$6:$AK$155,0))</f>
        <v>2100000</v>
      </c>
      <c r="I37" s="145">
        <f t="array" ref="I37">SUM(IF('2014-2017 Projects'!$C$6:$C$155="5.7 - H.R. Administration",'2014-2017 Projects'!$AL$6:$AL$155,0))</f>
        <v>0</v>
      </c>
      <c r="J37" s="145">
        <f t="array" ref="J37">SUM(IF('2014-2017 Projects'!$C$6:$C$155="5.7 - H.R. Administration",'2014-2017 Projects'!$AN$6:$AN$155,0))</f>
        <v>0</v>
      </c>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f t="array" ref="AG37">SUM(IF('2014-2017 Projects'!$C$6:$C$155="5.7 - H.R. Administration",'2014-2017 Projects'!$BW$6:$BW$155,0))</f>
        <v>0</v>
      </c>
      <c r="AH37" s="145">
        <f t="array" ref="AH37">SUM(IF('2014-2017 Projects'!$C$6:$C$155="5.7 - H.R. Administration",'2014-2017 Projects'!$BX$6:$BX$155,0))</f>
        <v>0</v>
      </c>
      <c r="AI37" s="145">
        <f t="array" ref="AI37">SUM(IF('2014-2017 Projects'!$C$6:$C$155="5.7 - H.R. Administration",'2014-2017 Projects'!$BV$6:$BV$155,0))</f>
        <v>0</v>
      </c>
      <c r="AJ37" s="145">
        <f t="shared" si="11"/>
        <v>2100000</v>
      </c>
      <c r="AK37" s="145">
        <f t="shared" si="12"/>
        <v>2100000</v>
      </c>
      <c r="AL37" s="453">
        <f t="shared" si="13"/>
        <v>0</v>
      </c>
      <c r="AM37" s="453">
        <f t="shared" si="14"/>
        <v>0</v>
      </c>
      <c r="AN37" s="158"/>
      <c r="AO37" s="158"/>
      <c r="AP37" s="158"/>
      <c r="AQ37" s="158"/>
      <c r="AR37" s="158"/>
      <c r="AS37" s="316"/>
      <c r="AT37" s="333"/>
      <c r="AU37" s="333"/>
      <c r="AV37" s="333"/>
      <c r="AW37" s="156"/>
    </row>
    <row r="38" spans="1:49" s="134" customFormat="1">
      <c r="A38" s="171" t="s">
        <v>648</v>
      </c>
      <c r="B38" s="145"/>
      <c r="C38" s="145"/>
      <c r="D38" s="145"/>
      <c r="E38" s="145"/>
      <c r="F38" s="145"/>
      <c r="G38" s="145"/>
      <c r="H38" s="145">
        <f t="array" ref="H38">SUM(IF('2014-2017 Projects'!$C$6:$C$155="5.8 - Occupational Risk Management",'2014-2017 Projects'!$AK$6:$AK$155,0))</f>
        <v>2500000</v>
      </c>
      <c r="I38" s="145">
        <f t="array" ref="I38">SUM(IF('2014-2017 Projects'!$C$6:$C$155="5.8 - Occupational Risk Management",'2014-2017 Projects'!$AL$6:$AL$155,0))</f>
        <v>0</v>
      </c>
      <c r="J38" s="145">
        <f t="array" ref="J38">SUM(IF('2014-2017 Projects'!$C$6:$C$155="5.8 - Occupational Risk Management",'2014-2017 Projects'!$AN$6:$AN$155,0))</f>
        <v>0</v>
      </c>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f t="array" ref="AG38">SUM(IF('2014-2017 Projects'!$C$6:$C$155="5.8 - Occupational Risk Management",'2014-2017 Projects'!$BW$6:$BW$155,0))</f>
        <v>0</v>
      </c>
      <c r="AH38" s="145">
        <f t="array" ref="AH38">SUM(IF('2014-2017 Projects'!$C$6:$C$155="5.8 - Occupational Risk Management",'2014-2017 Projects'!$BX$6:$BX$155,0))</f>
        <v>0</v>
      </c>
      <c r="AI38" s="145">
        <f t="array" ref="AI38">SUM(IF('2014-2017 Projects'!$C$6:$C$155="5.8 - Occupational Risk Management",'2014-2017 Projects'!$BV$6:$BV$155,0))</f>
        <v>0</v>
      </c>
      <c r="AJ38" s="145">
        <f t="shared" ref="AJ38" si="27">H38-AG38</f>
        <v>2500000</v>
      </c>
      <c r="AK38" s="145">
        <f t="shared" ref="AK38" si="28">H38-AH38</f>
        <v>2500000</v>
      </c>
      <c r="AL38" s="453">
        <f t="shared" ref="AL38" si="29">AG38/H38</f>
        <v>0</v>
      </c>
      <c r="AM38" s="453">
        <f t="shared" ref="AM38" si="30">AH38/H38</f>
        <v>0</v>
      </c>
      <c r="AN38" s="158"/>
      <c r="AO38" s="158"/>
      <c r="AP38" s="158"/>
      <c r="AQ38" s="158"/>
      <c r="AR38" s="158"/>
      <c r="AS38" s="316"/>
      <c r="AT38" s="333"/>
      <c r="AU38" s="333"/>
      <c r="AV38" s="333"/>
      <c r="AW38" s="156"/>
    </row>
    <row r="39" spans="1:49" s="134" customFormat="1">
      <c r="A39" s="171" t="s">
        <v>229</v>
      </c>
      <c r="B39" s="145">
        <f t="array" ref="B39">SUM(IF('2014-2017 Projects'!$A$6:$A$177="Corporate Services",'2014-2017 Projects'!$AG$6:$AG$177,0))</f>
        <v>6600000</v>
      </c>
      <c r="C39" s="145">
        <f t="array" ref="C39">SUM(IF('2014-2017 Projects'!$A$6:$A$177="Corporate Services",'2014-2017 Projects'!$AG$6:$AG$177,0))</f>
        <v>6600000</v>
      </c>
      <c r="D39" s="145">
        <f t="array" ref="D39">SUM(IF('2014-2017 Projects'!$A$6:$A$177="Corporate Services",'2014-2017 Projects'!$AG$6:$AG$177,0))</f>
        <v>6600000</v>
      </c>
      <c r="E39" s="145">
        <f t="array" ref="E39">SUM(IF('2014-2017 Projects'!$A$6:$A$177="Corporate Services",'2014-2017 Projects'!$AH$6:$AH$177,0))</f>
        <v>0</v>
      </c>
      <c r="F39" s="145">
        <f t="array" ref="F39">SUM(IF('2014-2017 Projects'!$A$6:$A$177="Corporate Services",'2014-2017 Projects'!$AI$6:$AI$177,0))</f>
        <v>6600000</v>
      </c>
      <c r="G39" s="145"/>
      <c r="H39" s="145">
        <f t="array" ref="H39">SUM(IF('2014-2017 Projects'!$C$6:$C$155="5.9 - Labour Relations",'2014-2017 Projects'!$AK$6:$AK$155,0))</f>
        <v>0</v>
      </c>
      <c r="I39" s="145">
        <f t="array" ref="I39">SUM(IF('2014-2017 Projects'!$C$6:$C$155="5.9 - Labour Relations",'2014-2017 Projects'!$AL$6:$AL$155,0))</f>
        <v>0</v>
      </c>
      <c r="J39" s="145">
        <f t="array" ref="J39">SUM(IF('2014-2017 Projects'!$C$6:$C$155="5.9 - Labour Relations",'2014-2017 Projects'!$AN$6:$AN$155,0))</f>
        <v>0</v>
      </c>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f t="array" ref="AG39">SUM(IF('2014-2017 Projects'!$C$6:$C$155="5.9 - Labour Relations",'2014-2017 Projects'!$BW$6:$BW$155,0))</f>
        <v>0</v>
      </c>
      <c r="AH39" s="145">
        <f t="array" ref="AH39">SUM(IF('2014-2017 Projects'!$C$6:$C$155="5.9 - Labour Relations",'2014-2017 Projects'!$BX$6:$BX$155,0))</f>
        <v>0</v>
      </c>
      <c r="AI39" s="145">
        <f t="array" ref="AI39">SUM(IF('2014-2017 Projects'!$C$6:$C$155="5.9 - Labour Relations",'2014-2017 Projects'!$BV$6:$BV$155,0))</f>
        <v>0</v>
      </c>
      <c r="AJ39" s="145">
        <f t="shared" si="11"/>
        <v>0</v>
      </c>
      <c r="AK39" s="145">
        <f t="shared" si="12"/>
        <v>0</v>
      </c>
      <c r="AL39" s="453" t="e">
        <f t="shared" si="13"/>
        <v>#DIV/0!</v>
      </c>
      <c r="AM39" s="453" t="e">
        <f t="shared" si="14"/>
        <v>#DIV/0!</v>
      </c>
      <c r="AN39" s="158"/>
      <c r="AO39" s="158"/>
      <c r="AP39" s="158"/>
      <c r="AQ39" s="158"/>
      <c r="AR39" s="158"/>
      <c r="AS39" s="316"/>
      <c r="AT39" s="333"/>
      <c r="AU39" s="333"/>
      <c r="AV39" s="333"/>
      <c r="AW39" s="156"/>
    </row>
    <row r="40" spans="1:49" s="134" customFormat="1">
      <c r="A40" s="171" t="s">
        <v>632</v>
      </c>
      <c r="B40" s="145">
        <f t="array" ref="B40">SUM(IF('2014-2017 Projects'!$A$6:$A$198="Municipal Manager's Office",'2014-2017 Projects'!$AG$6:$AG$198,0))</f>
        <v>12750000</v>
      </c>
      <c r="C40" s="145">
        <f t="array" ref="C40">SUM(IF('2014-2017 Projects'!$A$6:$A$198="Municipal Manager's Office",'2014-2017 Projects'!$AG$6:$AG$198,0))</f>
        <v>12750000</v>
      </c>
      <c r="D40" s="145">
        <f t="array" ref="D40">SUM(IF('2014-2017 Projects'!$A$6:$A$198="Municipal Manager's Office",'2014-2017 Projects'!$AG$6:$AG$198,0))</f>
        <v>12750000</v>
      </c>
      <c r="E40" s="145">
        <f t="array" ref="E40">SUM(IF('2014-2017 Projects'!$A$6:$A$198="Municipal Manager's Office",'2014-2017 Projects'!$AH$6:$AH$198,0))</f>
        <v>-10000000</v>
      </c>
      <c r="F40" s="145">
        <f t="array" ref="F40">SUM(IF('2014-2017 Projects'!$A$6:$A$198="Municipal Manager's Office",'2014-2017 Projects'!$AI$6:$AI$198,0))</f>
        <v>2750000</v>
      </c>
      <c r="G40" s="145"/>
      <c r="H40" s="145">
        <f t="array" ref="H40">SUM(IF('2014-2017 Projects'!$C$6:$C$155="5.10 - Organisational Development",'2014-2017 Projects'!$AK$6:$AK$155,0))</f>
        <v>0</v>
      </c>
      <c r="I40" s="145">
        <f t="array" ref="I40">SUM(IF('2014-2017 Projects'!$C$6:$C$155="5.10 - Organisational Development",'2014-2017 Projects'!$AL$6:$AL$155,0))</f>
        <v>0</v>
      </c>
      <c r="J40" s="145">
        <f t="array" ref="J40">SUM(IF('2014-2017 Projects'!$C$6:$C$155="5.10 - Organisational Development",'2014-2017 Projects'!$AN$6:$AN$155,0))</f>
        <v>0</v>
      </c>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f t="array" ref="AG40">SUM(IF('2014-2017 Projects'!$C$6:$C$155="5.10 - Organisational Development",'2014-2017 Projects'!$BW$6:$BW$155,0))</f>
        <v>0</v>
      </c>
      <c r="AH40" s="145">
        <f t="array" ref="AH40">SUM(IF('2014-2017 Projects'!$C$6:$C$155="5.10 - Organisational Development",'2014-2017 Projects'!$BX$6:$BX$155,0))</f>
        <v>0</v>
      </c>
      <c r="AI40" s="145">
        <f t="array" ref="AI40">SUM(IF('2014-2017 Projects'!$C$6:$C$155="5.10 - Organisational Development",'2014-2017 Projects'!$BV$6:$BV$155,0))</f>
        <v>0</v>
      </c>
      <c r="AJ40" s="145">
        <f>H40-AG40</f>
        <v>0</v>
      </c>
      <c r="AK40" s="145">
        <f>H40-AH40</f>
        <v>0</v>
      </c>
      <c r="AL40" s="453" t="e">
        <f>AG40/H40</f>
        <v>#DIV/0!</v>
      </c>
      <c r="AM40" s="453" t="e">
        <f>AH40/H40</f>
        <v>#DIV/0!</v>
      </c>
      <c r="AN40" s="158"/>
      <c r="AO40" s="158"/>
      <c r="AP40" s="158"/>
      <c r="AQ40" s="158"/>
      <c r="AR40" s="158"/>
      <c r="AS40" s="316"/>
      <c r="AT40" s="333"/>
      <c r="AU40" s="333"/>
      <c r="AV40" s="333"/>
      <c r="AW40" s="156"/>
    </row>
    <row r="41" spans="1:49" s="134" customFormat="1">
      <c r="A41" s="171" t="s">
        <v>649</v>
      </c>
      <c r="B41" s="145"/>
      <c r="C41" s="145"/>
      <c r="D41" s="145"/>
      <c r="E41" s="145"/>
      <c r="F41" s="145"/>
      <c r="G41" s="145"/>
      <c r="H41" s="145">
        <f t="array" ref="H41">SUM(IF('2014-2017 Projects'!$C$6:$C$155="6.1 - Office of The Director of Engineering Services",'2014-2017 Projects'!$AK$6:$AK$155,0))</f>
        <v>500000</v>
      </c>
      <c r="I41" s="145">
        <f t="array" ref="I41">SUM(IF('2014-2017 Projects'!$C$6:$C$155="6.1 - Office of The Director of Engineering Services",'2014-2017 Projects'!$AL$6:$AL$155,0))</f>
        <v>0</v>
      </c>
      <c r="J41" s="145">
        <f t="array" ref="J41">SUM(IF('2014-2017 Projects'!$C$6:$C$155="6.1 - Office of The Director of Engineering Services",'2014-2017 Projects'!$AN$6:$AN$155,0))</f>
        <v>0</v>
      </c>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f t="array" ref="AG41">SUM(IF('2014-2017 Projects'!$C$6:$C$155="6.1 - Office of The Director of Engineering Services",'2014-2017 Projects'!$BW$6:$BW$155,0))</f>
        <v>0</v>
      </c>
      <c r="AH41" s="145">
        <f t="array" ref="AH41">SUM(IF('2014-2017 Projects'!$C$6:$C$155="6.1 - Office of The Director of Engineering Services",'2014-2017 Projects'!$BX$6:$BX$155,0))</f>
        <v>0</v>
      </c>
      <c r="AI41" s="145">
        <f t="array" ref="AI41">SUM(IF('2014-2017 Projects'!$C$6:$C$155="6.1 - Office of The Director of Engineering Services",'2014-2017 Projects'!$BV$6:$BV$155,0))</f>
        <v>0</v>
      </c>
      <c r="AJ41" s="145">
        <f>H41-AG41</f>
        <v>500000</v>
      </c>
      <c r="AK41" s="145">
        <f>H41-AH41</f>
        <v>500000</v>
      </c>
      <c r="AL41" s="453">
        <f>AG41/H41</f>
        <v>0</v>
      </c>
      <c r="AM41" s="453">
        <f>AH41/H41</f>
        <v>0</v>
      </c>
      <c r="AN41" s="158"/>
      <c r="AO41" s="158"/>
      <c r="AP41" s="158"/>
      <c r="AQ41" s="158"/>
      <c r="AR41" s="158"/>
      <c r="AS41" s="316"/>
      <c r="AT41" s="333"/>
      <c r="AU41" s="333"/>
      <c r="AV41" s="333"/>
      <c r="AW41" s="156"/>
    </row>
    <row r="42" spans="1:49" s="134" customFormat="1">
      <c r="A42" s="171" t="s">
        <v>230</v>
      </c>
      <c r="B42" s="145">
        <f t="array" ref="B42">SUM(IF('2014-2017 Projects'!$A$6:$A$177="Chief Operations Officer",'2014-2017 Projects'!$AG$6:$AG$177,0))</f>
        <v>0</v>
      </c>
      <c r="C42" s="145">
        <f t="array" ref="C42">SUM(IF('2014-2017 Projects'!$A$6:$A$177="Chief Operations Officer",'2014-2017 Projects'!$AG$6:$AG$177,0))</f>
        <v>0</v>
      </c>
      <c r="D42" s="145">
        <f t="array" ref="D42">SUM(IF('2014-2017 Projects'!$A$6:$A$177="Chief Operations Officer",'2014-2017 Projects'!$AG$6:$AG$177,0))</f>
        <v>0</v>
      </c>
      <c r="E42" s="145">
        <f t="array" ref="E42">SUM(IF('2014-2017 Projects'!$A$6:$A$177="Chief Operations Officer",'2014-2017 Projects'!$AH$6:$AH$177,0))</f>
        <v>0</v>
      </c>
      <c r="F42" s="145">
        <f t="array" ref="F42">SUM(IF('2014-2017 Projects'!$A$6:$A$177="Chief Operations Officer",'2014-2017 Projects'!$AI$6:$AI$177,0))</f>
        <v>0</v>
      </c>
      <c r="G42" s="145">
        <f t="array" ref="G42">SUM(IF('2014-2017 Projects'!$A$6:$A$177="Chief Operations Officer",'2014-2017 Projects'!$AG$6:$AG$177,0))</f>
        <v>0</v>
      </c>
      <c r="H42" s="145">
        <f t="array" ref="H42">SUM(IF('2014-2017 Projects'!$C$6:$C$155="6.9 - Sewerage Admin",'2014-2017 Projects'!$AK$6:$AK$155,0))</f>
        <v>216507892</v>
      </c>
      <c r="I42" s="145">
        <f t="array" ref="I42">SUM(IF('2014-2017 Projects'!$C$6:$C$155="6.9 - Sewerage Admin",'2014-2017 Projects'!$AL$6:$AL$155,0))</f>
        <v>-199830.90999999997</v>
      </c>
      <c r="J42" s="145">
        <f t="array" ref="J42">SUM(IF('2014-2017 Projects'!$C$6:$C$155="6.9 - Sewerage Admin",'2014-2017 Projects'!$AN$6:$AN$155,0))</f>
        <v>-199830.90999999997</v>
      </c>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f t="array" ref="AG42">SUM(IF('2014-2017 Projects'!$C$6:$C$155="6.9 - Sewerage Admin",'2014-2017 Projects'!$BW$6:$BW$155,0))</f>
        <v>-199830.90999999997</v>
      </c>
      <c r="AH42" s="145">
        <f t="array" ref="AH42">SUM(IF('2014-2017 Projects'!$C$6:$C$155="6.9 - Sewerage Admin",'2014-2017 Projects'!$BX$6:$BX$155,0))</f>
        <v>-199830.90999999997</v>
      </c>
      <c r="AI42" s="145">
        <f t="array" ref="AI42">SUM(IF('2014-2017 Projects'!$C$6:$C$155="6.9 - Sewerage Admin",'2014-2017 Projects'!$BV$6:$BV$155,0))</f>
        <v>398437.45</v>
      </c>
      <c r="AJ42" s="145">
        <f>H42-AG42</f>
        <v>216707722.91</v>
      </c>
      <c r="AK42" s="145">
        <f>H42-AH42</f>
        <v>216707722.91</v>
      </c>
      <c r="AL42" s="453">
        <f>AG42/H42</f>
        <v>-9.2297286788973023E-4</v>
      </c>
      <c r="AM42" s="453">
        <f>AH42/H42</f>
        <v>-9.2297286788973023E-4</v>
      </c>
      <c r="AN42" s="158"/>
      <c r="AO42" s="158"/>
      <c r="AP42" s="158"/>
      <c r="AQ42" s="158"/>
      <c r="AR42" s="158"/>
      <c r="AS42" s="316"/>
      <c r="AT42" s="333"/>
      <c r="AU42" s="333"/>
      <c r="AV42" s="333"/>
      <c r="AW42" s="156"/>
    </row>
    <row r="43" spans="1:49" s="134" customFormat="1">
      <c r="A43" s="171" t="s">
        <v>634</v>
      </c>
      <c r="B43" s="145">
        <f t="array" ref="B43">SUM(IF('2014-2017 Projects'!$A$6:$A$198="Municipal Manager's Office",'2014-2017 Projects'!$AG$6:$AG$198,0))</f>
        <v>12750000</v>
      </c>
      <c r="C43" s="145">
        <f t="array" ref="C43">SUM(IF('2014-2017 Projects'!$A$6:$A$198="Municipal Manager's Office",'2014-2017 Projects'!$AG$6:$AG$198,0))</f>
        <v>12750000</v>
      </c>
      <c r="D43" s="145">
        <f t="array" ref="D43">SUM(IF('2014-2017 Projects'!$A$6:$A$198="Municipal Manager's Office",'2014-2017 Projects'!$AG$6:$AG$198,0))</f>
        <v>12750000</v>
      </c>
      <c r="E43" s="145">
        <f t="array" ref="E43">SUM(IF('2014-2017 Projects'!$A$6:$A$198="Municipal Manager's Office",'2014-2017 Projects'!$AH$6:$AH$198,0))</f>
        <v>-10000000</v>
      </c>
      <c r="F43" s="145">
        <f t="array" ref="F43">SUM(IF('2014-2017 Projects'!$A$6:$A$198="Municipal Manager's Office",'2014-2017 Projects'!$AI$6:$AI$198,0))</f>
        <v>2750000</v>
      </c>
      <c r="G43" s="145"/>
      <c r="H43" s="145">
        <f t="array" ref="H43">SUM(IF('2014-2017 Projects'!$C$6:$C$155="6.20 - Water Administration",'2014-2017 Projects'!$AK$6:$AK$155,0))</f>
        <v>97688726</v>
      </c>
      <c r="I43" s="145">
        <f t="array" ref="I43">SUM(IF('2014-2017 Projects'!$C$6:$C$155="6.20 - Water Administration",'2014-2017 Projects'!$AL$6:$AL$155,0))</f>
        <v>0</v>
      </c>
      <c r="J43" s="145">
        <f t="array" ref="J43">SUM(IF('2014-2017 Projects'!$C$6:$C$155="6.20 - Water Administration",'2014-2017 Projects'!$AN$6:$AN$155,0))</f>
        <v>0</v>
      </c>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f t="array" ref="AG43">SUM(IF('2014-2017 Projects'!$C$6:$C$155="6.20 - Water Administration",'2014-2017 Projects'!$BW$6:$BW$155,0))</f>
        <v>0</v>
      </c>
      <c r="AH43" s="145">
        <f t="array" ref="AH43">SUM(IF('2014-2017 Projects'!$C$6:$C$155="6.20 - Water Administration",'2014-2017 Projects'!$BX$6:$BX$155,0))</f>
        <v>0</v>
      </c>
      <c r="AI43" s="145">
        <f t="array" ref="AI43">SUM(IF('2014-2017 Projects'!$C$6:$C$155="6.20 - Water Administration",'2014-2017 Projects'!$BV$6:$BV$155,0))</f>
        <v>291989.95</v>
      </c>
      <c r="AJ43" s="145">
        <f t="shared" si="11"/>
        <v>97688726</v>
      </c>
      <c r="AK43" s="145">
        <f t="shared" si="12"/>
        <v>97688726</v>
      </c>
      <c r="AL43" s="453">
        <f t="shared" si="13"/>
        <v>0</v>
      </c>
      <c r="AM43" s="453">
        <f t="shared" si="14"/>
        <v>0</v>
      </c>
      <c r="AN43" s="158"/>
      <c r="AO43" s="158"/>
      <c r="AP43" s="158"/>
      <c r="AQ43" s="158"/>
      <c r="AR43" s="158"/>
      <c r="AS43" s="316"/>
      <c r="AT43" s="333"/>
      <c r="AU43" s="333"/>
      <c r="AV43" s="333"/>
      <c r="AW43" s="156"/>
    </row>
    <row r="44" spans="1:49" s="134" customFormat="1">
      <c r="A44" s="171" t="s">
        <v>231</v>
      </c>
      <c r="B44" s="145">
        <f t="array" ref="B44">SUM(IF('2014-2017 Projects'!$A$6:$A$177="Chief Operations Officer",'2014-2017 Projects'!$AG$6:$AG$177,0))</f>
        <v>0</v>
      </c>
      <c r="C44" s="145">
        <f t="array" ref="C44">SUM(IF('2014-2017 Projects'!$A$6:$A$177="Chief Operations Officer",'2014-2017 Projects'!$AG$6:$AG$177,0))</f>
        <v>0</v>
      </c>
      <c r="D44" s="145">
        <f t="array" ref="D44">SUM(IF('2014-2017 Projects'!$A$6:$A$177="Chief Operations Officer",'2014-2017 Projects'!$AG$6:$AG$177,0))</f>
        <v>0</v>
      </c>
      <c r="E44" s="145">
        <f t="array" ref="E44">SUM(IF('2014-2017 Projects'!$A$6:$A$177="Chief Operations Officer",'2014-2017 Projects'!$AH$6:$AH$177,0))</f>
        <v>0</v>
      </c>
      <c r="F44" s="145">
        <f t="array" ref="F44">SUM(IF('2014-2017 Projects'!$A$6:$A$177="Chief Operations Officer",'2014-2017 Projects'!$AI$6:$AI$177,0))</f>
        <v>0</v>
      </c>
      <c r="G44" s="145">
        <f t="array" ref="G44">SUM(IF('2014-2017 Projects'!$A$6:$A$177="Chief Operations Officer",'2014-2017 Projects'!$AG$6:$AG$177,0))</f>
        <v>0</v>
      </c>
      <c r="H44" s="145">
        <f t="array" ref="H44">SUM(IF('2014-2017 Projects'!$C$6:$C$155="6.25 - Water Treatment Works",'2014-2017 Projects'!$AK$6:$AK$155,0))</f>
        <v>0</v>
      </c>
      <c r="I44" s="145">
        <f t="array" ref="I44">SUM(IF('2014-2017 Projects'!$C$6:$C$155="6.25 - Water Treatment Works",'2014-2017 Projects'!$AL$6:$AL$155,0))</f>
        <v>0</v>
      </c>
      <c r="J44" s="145">
        <f t="array" ref="J44">SUM(IF('2014-2017 Projects'!$C$6:$C$155="6.25 - Water Treatment Works",'2014-2017 Projects'!$AN$6:$AN$155,0))</f>
        <v>0</v>
      </c>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f t="array" ref="AG44">SUM(IF('2014-2017 Projects'!$C$6:$C$155="6.25 - Water Treatment Works",'2014-2017 Projects'!$BW$6:$BW$155,0))</f>
        <v>0</v>
      </c>
      <c r="AH44" s="145">
        <f t="array" ref="AH44">SUM(IF('2014-2017 Projects'!$C$6:$C$155="6.25 - Water Treatment Works",'2014-2017 Projects'!$BX$6:$BX$155,0))</f>
        <v>0</v>
      </c>
      <c r="AI44" s="145">
        <f t="array" ref="AI44">SUM(IF('2014-2017 Projects'!$C$6:$C$155="6.25 - Water Treatment Works",'2014-2017 Projects'!$BV$6:$BV$155,0))</f>
        <v>0</v>
      </c>
      <c r="AJ44" s="145">
        <f t="shared" si="11"/>
        <v>0</v>
      </c>
      <c r="AK44" s="145">
        <f t="shared" si="12"/>
        <v>0</v>
      </c>
      <c r="AL44" s="453" t="e">
        <f t="shared" si="13"/>
        <v>#DIV/0!</v>
      </c>
      <c r="AM44" s="453" t="e">
        <f t="shared" si="14"/>
        <v>#DIV/0!</v>
      </c>
      <c r="AN44" s="158"/>
      <c r="AO44" s="158"/>
      <c r="AP44" s="158"/>
      <c r="AQ44" s="158"/>
      <c r="AR44" s="158"/>
      <c r="AS44" s="316"/>
      <c r="AT44" s="333"/>
      <c r="AU44" s="333"/>
      <c r="AV44" s="333"/>
      <c r="AW44" s="156"/>
    </row>
    <row r="45" spans="1:49" s="134" customFormat="1">
      <c r="A45" s="171" t="s">
        <v>650</v>
      </c>
      <c r="B45" s="145"/>
      <c r="C45" s="145"/>
      <c r="D45" s="145"/>
      <c r="E45" s="145"/>
      <c r="F45" s="145"/>
      <c r="G45" s="145"/>
      <c r="H45" s="145">
        <f t="array" ref="H45">SUM(IF('2014-2017 Projects'!$C$6:$C$155="6.34 - Roads Administration",'2014-2017 Projects'!$AK$6:$AK$155,0))</f>
        <v>198000000</v>
      </c>
      <c r="I45" s="145">
        <f t="array" ref="I45">SUM(IF('2014-2017 Projects'!$C$6:$C$155="6.34 - Roads Administration",'2014-2017 Projects'!$AL$6:$AL$155,0))</f>
        <v>-47814.16</v>
      </c>
      <c r="J45" s="145">
        <f t="array" ref="J45">SUM(IF('2014-2017 Projects'!$C$6:$C$155="6.34 - Roads Administration",'2014-2017 Projects'!$AN$6:$AN$155,0))</f>
        <v>-47814.16</v>
      </c>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f t="array" ref="AG45">SUM(IF('2014-2017 Projects'!$C$6:$C$155="6.34 - Roads Administration",'2014-2017 Projects'!$BW$6:$BW$155,0))</f>
        <v>-47814.16</v>
      </c>
      <c r="AH45" s="145">
        <f t="array" ref="AH45">SUM(IF('2014-2017 Projects'!$C$6:$C$155="6.34 - Roads Administration",'2014-2017 Projects'!$BX$6:$BX$155,0))</f>
        <v>-47814.16</v>
      </c>
      <c r="AI45" s="145">
        <f t="array" ref="AI45">SUM(IF('2014-2017 Projects'!$C$6:$C$155="6.34 - Roads Administration",'2014-2017 Projects'!$BV$6:$BV$155,0))</f>
        <v>0</v>
      </c>
      <c r="AJ45" s="145">
        <f t="shared" ref="AJ45" si="31">H45-AG45</f>
        <v>198047814.16</v>
      </c>
      <c r="AK45" s="145">
        <f t="shared" ref="AK45" si="32">H45-AH45</f>
        <v>198047814.16</v>
      </c>
      <c r="AL45" s="453">
        <f t="shared" ref="AL45" si="33">AG45/H45</f>
        <v>-2.4148565656565658E-4</v>
      </c>
      <c r="AM45" s="453">
        <f t="shared" ref="AM45" si="34">AH45/H45</f>
        <v>-2.4148565656565658E-4</v>
      </c>
      <c r="AN45" s="158"/>
      <c r="AO45" s="158"/>
      <c r="AP45" s="158"/>
      <c r="AQ45" s="158"/>
      <c r="AR45" s="158"/>
      <c r="AS45" s="316"/>
      <c r="AT45" s="333"/>
      <c r="AU45" s="333"/>
      <c r="AV45" s="333"/>
      <c r="AW45" s="156"/>
    </row>
    <row r="46" spans="1:49" s="134" customFormat="1">
      <c r="A46" s="171" t="s">
        <v>232</v>
      </c>
      <c r="B46" s="145">
        <f t="array" ref="B46">SUM(IF('2014-2017 Projects'!$A$6:$A$177="Financial Services",'2014-2017 Projects'!$AG$6:$AG$177,0))</f>
        <v>0</v>
      </c>
      <c r="C46" s="145">
        <f t="array" ref="C46">SUM(IF('2014-2017 Projects'!$A$6:$A$177="Financial Services",'2014-2017 Projects'!$AG$6:$AG$177,0))</f>
        <v>0</v>
      </c>
      <c r="D46" s="145">
        <f t="array" ref="D46">SUM(IF('2014-2017 Projects'!$A$6:$A$177="Financial Services",'2014-2017 Projects'!$AG$6:$AG$177,0))</f>
        <v>0</v>
      </c>
      <c r="E46" s="145">
        <f t="array" ref="E46">SUM(IF('2014-2017 Projects'!$A$6:$A$177="Financial Services",'2014-2017 Projects'!$AH$6:$AH$177,0))</f>
        <v>0</v>
      </c>
      <c r="F46" s="145">
        <f t="array" ref="F46">SUM(IF('2014-2017 Projects'!$A$6:$A$177="Financial Services",'2014-2017 Projects'!$AI$6:$AI$177,0))</f>
        <v>0</v>
      </c>
      <c r="G46" s="145"/>
      <c r="H46" s="145">
        <f t="array" ref="H46">SUM(IF('2014-2017 Projects'!$C$6:$C$155="6.36 - Roads and Stormwater Drainage",'2014-2017 Projects'!$AK$6:$AK$155,0))</f>
        <v>0</v>
      </c>
      <c r="I46" s="145">
        <f t="array" ref="I46">SUM(IF('2014-2017 Projects'!$C$6:$C$155="6.36 - Roads and Stormwater Drainage",'2014-2017 Projects'!$AL$6:$AL$155,0))</f>
        <v>0</v>
      </c>
      <c r="J46" s="145">
        <f t="array" ref="J46">SUM(IF('2014-2017 Projects'!$C$6:$C$155="6.36 - Roads and Stormwater Drainage",'2014-2017 Projects'!$AN$6:$AN$155,0))</f>
        <v>0</v>
      </c>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f t="array" ref="AG46">SUM(IF('2014-2017 Projects'!$C$6:$C$155="6.36 - Roads and Stormwater Drainage",'2014-2017 Projects'!$BW$6:$BW$155,0))</f>
        <v>0</v>
      </c>
      <c r="AH46" s="145">
        <f t="array" ref="AH46">SUM(IF('2014-2017 Projects'!$C$6:$C$155="6.36 - Roads and Stormwater Drainage",'2014-2017 Projects'!$BX$6:$BX$155,0))</f>
        <v>0</v>
      </c>
      <c r="AI46" s="145">
        <f t="array" ref="AI46">SUM(IF('2014-2017 Projects'!$C$6:$C$155="6.36 - Roads and Stormwater Drainage",'2014-2017 Projects'!$BV$6:$BV$155,0))</f>
        <v>0</v>
      </c>
      <c r="AJ46" s="145">
        <f t="shared" si="11"/>
        <v>0</v>
      </c>
      <c r="AK46" s="145">
        <f t="shared" si="12"/>
        <v>0</v>
      </c>
      <c r="AL46" s="453" t="e">
        <f t="shared" si="13"/>
        <v>#DIV/0!</v>
      </c>
      <c r="AM46" s="453" t="e">
        <f t="shared" si="14"/>
        <v>#DIV/0!</v>
      </c>
      <c r="AN46" s="158"/>
      <c r="AO46" s="158"/>
      <c r="AP46" s="158"/>
      <c r="AQ46" s="158"/>
      <c r="AR46" s="158"/>
      <c r="AS46" s="316"/>
      <c r="AT46" s="333"/>
      <c r="AU46" s="333"/>
      <c r="AV46" s="333"/>
      <c r="AW46" s="156"/>
    </row>
    <row r="47" spans="1:49" s="134" customFormat="1">
      <c r="A47" s="171" t="s">
        <v>233</v>
      </c>
      <c r="B47" s="145">
        <f t="array" ref="B47">SUM(IF('2014-2017 Projects'!$A$6:$A$177="Corporate Services",'2014-2017 Projects'!$AG$6:$AG$177,0))</f>
        <v>6600000</v>
      </c>
      <c r="C47" s="145">
        <f t="array" ref="C47">SUM(IF('2014-2017 Projects'!$A$6:$A$177="Corporate Services",'2014-2017 Projects'!$AG$6:$AG$177,0))</f>
        <v>6600000</v>
      </c>
      <c r="D47" s="145">
        <f t="array" ref="D47">SUM(IF('2014-2017 Projects'!$A$6:$A$177="Corporate Services",'2014-2017 Projects'!$AG$6:$AG$177,0))</f>
        <v>6600000</v>
      </c>
      <c r="E47" s="145">
        <f t="array" ref="E47">SUM(IF('2014-2017 Projects'!$A$6:$A$177="Corporate Services",'2014-2017 Projects'!$AH$6:$AH$177,0))</f>
        <v>0</v>
      </c>
      <c r="F47" s="145">
        <f t="array" ref="F47">SUM(IF('2014-2017 Projects'!$A$6:$A$177="Corporate Services",'2014-2017 Projects'!$AI$6:$AI$177,0))</f>
        <v>6600000</v>
      </c>
      <c r="G47" s="145"/>
      <c r="H47" s="145">
        <f t="array" ref="H47">SUM(IF('2014-2017 Projects'!$C$6:$C$155="6.43 - Fleet Management - Braelyn",'2014-2017 Projects'!$AK$6:$AK$155,0))</f>
        <v>18300000</v>
      </c>
      <c r="I47" s="145">
        <f t="array" ref="I47">SUM(IF('2014-2017 Projects'!$C$6:$C$155="6.43 - Fleet Management - Braelyn",'2014-2017 Projects'!$AL$6:$AL$155,0))</f>
        <v>0</v>
      </c>
      <c r="J47" s="145">
        <f t="array" ref="J47">SUM(IF('2014-2017 Projects'!$C$6:$C$155="6.43 - Fleet Management - Braelyn",'2014-2017 Projects'!$AN$6:$AN$155,0))</f>
        <v>0</v>
      </c>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f t="array" ref="AG47">SUM(IF('2014-2017 Projects'!$C$6:$C$155="6.43 - Fleet Management - Braelyn",'2014-2017 Projects'!$BW$6:$BW$155,0))</f>
        <v>0</v>
      </c>
      <c r="AH47" s="145">
        <f t="array" ref="AH47">SUM(IF('2014-2017 Projects'!$C$6:$C$155="6.43 - Fleet Management - Braelyn",'2014-2017 Projects'!$BX$6:$BX$155,0))</f>
        <v>0</v>
      </c>
      <c r="AI47" s="145">
        <f t="array" ref="AI47">SUM(IF('2014-2017 Projects'!$C$6:$C$155="6.43 - Fleet Management - Braelyn",'2014-2017 Projects'!$BV$6:$BV$155,0))</f>
        <v>0</v>
      </c>
      <c r="AJ47" s="145">
        <f t="shared" si="11"/>
        <v>18300000</v>
      </c>
      <c r="AK47" s="145">
        <f t="shared" si="12"/>
        <v>18300000</v>
      </c>
      <c r="AL47" s="453">
        <f t="shared" si="13"/>
        <v>0</v>
      </c>
      <c r="AM47" s="453">
        <f t="shared" si="14"/>
        <v>0</v>
      </c>
      <c r="AN47" s="158"/>
      <c r="AO47" s="158"/>
      <c r="AP47" s="158"/>
      <c r="AQ47" s="158"/>
      <c r="AR47" s="158"/>
      <c r="AS47" s="316"/>
      <c r="AT47" s="333"/>
      <c r="AU47" s="333"/>
      <c r="AV47" s="333"/>
      <c r="AW47" s="156"/>
    </row>
    <row r="48" spans="1:49" s="134" customFormat="1">
      <c r="A48" s="171" t="s">
        <v>234</v>
      </c>
      <c r="B48" s="145">
        <f t="array" ref="B48">SUM(IF('2014-2017 Projects'!$A$6:$A$198="Municipal Manager's Office",'2014-2017 Projects'!$AG$6:$AG$198,0))</f>
        <v>12750000</v>
      </c>
      <c r="C48" s="145">
        <f t="array" ref="C48">SUM(IF('2014-2017 Projects'!$A$6:$A$198="Municipal Manager's Office",'2014-2017 Projects'!$AG$6:$AG$198,0))</f>
        <v>12750000</v>
      </c>
      <c r="D48" s="145">
        <f t="array" ref="D48">SUM(IF('2014-2017 Projects'!$A$6:$A$198="Municipal Manager's Office",'2014-2017 Projects'!$AG$6:$AG$198,0))</f>
        <v>12750000</v>
      </c>
      <c r="E48" s="145">
        <f t="array" ref="E48">SUM(IF('2014-2017 Projects'!$A$6:$A$198="Municipal Manager's Office",'2014-2017 Projects'!$AH$6:$AH$198,0))</f>
        <v>-10000000</v>
      </c>
      <c r="F48" s="145">
        <f t="array" ref="F48">SUM(IF('2014-2017 Projects'!$A$6:$A$198="Municipal Manager's Office",'2014-2017 Projects'!$AI$6:$AI$198,0))</f>
        <v>2750000</v>
      </c>
      <c r="G48" s="145"/>
      <c r="H48" s="145">
        <f t="array" ref="H48">SUM(IF('2014-2017 Projects'!$C$6:$C$155="6.46 - Electricity Planning &amp; Design",'2014-2017 Projects'!$AK$6:$AK$155,0))</f>
        <v>134699000</v>
      </c>
      <c r="I48" s="145">
        <f t="array" ref="I48">SUM(IF('2014-2017 Projects'!$C$6:$C$155="6.46 - Electricity Planning &amp; Design",'2014-2017 Projects'!$AL$6:$AL$155,0))</f>
        <v>34346</v>
      </c>
      <c r="J48" s="145">
        <f t="array" ref="J48">SUM(IF('2014-2017 Projects'!$C$6:$C$155="6.46 - Electricity Planning &amp; Design",'2014-2017 Projects'!$AN$6:$AN$155,0))</f>
        <v>34346</v>
      </c>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f t="array" ref="AG48">SUM(IF('2014-2017 Projects'!$C$6:$C$155="6.46 - Electricity Planning &amp; Design",'2014-2017 Projects'!$BW$6:$BW$155,0))</f>
        <v>34346</v>
      </c>
      <c r="AH48" s="145">
        <f t="array" ref="AH48">SUM(IF('2014-2017 Projects'!$C$6:$C$155="6.46 - Electricity Planning &amp; Design",'2014-2017 Projects'!$BX$6:$BX$155,0))</f>
        <v>34346</v>
      </c>
      <c r="AI48" s="145">
        <f t="array" ref="AI48">SUM(IF('2014-2017 Projects'!$C$6:$C$155="6.46 - Electricity Planning &amp; Design",'2014-2017 Projects'!$BV$6:$BV$155,0))</f>
        <v>0</v>
      </c>
      <c r="AJ48" s="145">
        <f t="shared" si="11"/>
        <v>134664654</v>
      </c>
      <c r="AK48" s="145">
        <f t="shared" si="12"/>
        <v>134664654</v>
      </c>
      <c r="AL48" s="453">
        <f t="shared" si="13"/>
        <v>2.5498333320960067E-4</v>
      </c>
      <c r="AM48" s="453">
        <f t="shared" si="14"/>
        <v>2.5498333320960067E-4</v>
      </c>
      <c r="AN48" s="158"/>
      <c r="AO48" s="158"/>
      <c r="AP48" s="158"/>
      <c r="AQ48" s="158"/>
      <c r="AR48" s="158"/>
      <c r="AS48" s="316"/>
      <c r="AT48" s="333"/>
      <c r="AU48" s="333"/>
      <c r="AV48" s="333"/>
      <c r="AW48" s="156"/>
    </row>
    <row r="49" spans="1:49" s="134" customFormat="1">
      <c r="A49" s="171" t="s">
        <v>651</v>
      </c>
      <c r="B49" s="145"/>
      <c r="C49" s="145"/>
      <c r="D49" s="145"/>
      <c r="E49" s="145"/>
      <c r="F49" s="145"/>
      <c r="G49" s="145"/>
      <c r="H49" s="145">
        <f t="array" ref="H49">SUM(IF('2014-2017 Projects'!$C$6:$C$155="7.1 - Office of The Director of Planning &amp; Economic Dev.",'2014-2017 Projects'!$AK$6:$AK$155,0))</f>
        <v>500000</v>
      </c>
      <c r="I49" s="145">
        <f t="array" ref="I49">SUM(IF('2014-2017 Projects'!$C$6:$C$155="7.1 - Office of The Director of Planning &amp; Economic Dev.",'2014-2017 Projects'!$AL$6:$AL$155,0))</f>
        <v>0</v>
      </c>
      <c r="J49" s="145">
        <f t="array" ref="J49">SUM(IF('2014-2017 Projects'!$C$6:$C$155="7.1 - Office of The Director of Planning &amp; Economic Dev.",'2014-2017 Projects'!$AN$6:$AN$155,0))</f>
        <v>0</v>
      </c>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f t="array" ref="AG49">SUM(IF('2014-2017 Projects'!$C$6:$C$155="7.1 - Office of The Director of Planning &amp; Economic Dev.",'2014-2017 Projects'!$BW$6:$BW$155,0))</f>
        <v>0</v>
      </c>
      <c r="AH49" s="145">
        <f t="array" ref="AH49">SUM(IF('2014-2017 Projects'!$C$6:$C$155="7.1 - Office of The Director of Planning &amp; Economic Dev.",'2014-2017 Projects'!$BX$6:$BX$155,0))</f>
        <v>0</v>
      </c>
      <c r="AI49" s="145">
        <f t="array" ref="AI49">SUM(IF('2014-2017 Projects'!$C$6:$C$155="7.1 - Office of The Director of Planning &amp; Economic Dev.",'2014-2017 Projects'!$BV$6:$BV$155,0))</f>
        <v>0</v>
      </c>
      <c r="AJ49" s="145">
        <f t="shared" ref="AJ49" si="35">H49-AG49</f>
        <v>500000</v>
      </c>
      <c r="AK49" s="145">
        <f t="shared" ref="AK49" si="36">H49-AH49</f>
        <v>500000</v>
      </c>
      <c r="AL49" s="453">
        <f t="shared" ref="AL49" si="37">AG49/H49</f>
        <v>0</v>
      </c>
      <c r="AM49" s="453">
        <f t="shared" ref="AM49" si="38">AH49/H49</f>
        <v>0</v>
      </c>
      <c r="AN49" s="158"/>
      <c r="AO49" s="158"/>
      <c r="AP49" s="158"/>
      <c r="AQ49" s="158"/>
      <c r="AR49" s="158"/>
      <c r="AS49" s="316"/>
      <c r="AT49" s="333"/>
      <c r="AU49" s="333"/>
      <c r="AV49" s="333"/>
      <c r="AW49" s="156"/>
    </row>
    <row r="50" spans="1:49" s="134" customFormat="1">
      <c r="A50" s="171" t="s">
        <v>235</v>
      </c>
      <c r="B50" s="145">
        <f t="array" ref="B50">SUM(IF('2014-2017 Projects'!$A$6:$A$177="Financial Services",'2014-2017 Projects'!$AG$6:$AG$177,0))</f>
        <v>0</v>
      </c>
      <c r="C50" s="145">
        <f t="array" ref="C50">SUM(IF('2014-2017 Projects'!$A$6:$A$177="Financial Services",'2014-2017 Projects'!$AG$6:$AG$177,0))</f>
        <v>0</v>
      </c>
      <c r="D50" s="145">
        <f t="array" ref="D50">SUM(IF('2014-2017 Projects'!$A$6:$A$177="Financial Services",'2014-2017 Projects'!$AG$6:$AG$177,0))</f>
        <v>0</v>
      </c>
      <c r="E50" s="145">
        <f t="array" ref="E50">SUM(IF('2014-2017 Projects'!$A$6:$A$177="Financial Services",'2014-2017 Projects'!$AH$6:$AH$177,0))</f>
        <v>0</v>
      </c>
      <c r="F50" s="145">
        <f t="array" ref="F50">SUM(IF('2014-2017 Projects'!$A$6:$A$177="Financial Services",'2014-2017 Projects'!$AI$6:$AI$177,0))</f>
        <v>0</v>
      </c>
      <c r="G50" s="145"/>
      <c r="H50" s="145">
        <f t="array" ref="H50">SUM(IF('2014-2017 Projects'!$C$6:$C$155="7.12 - Architecture",'2014-2017 Projects'!$AK$6:$AK$155,0))</f>
        <v>5000000</v>
      </c>
      <c r="I50" s="145">
        <f t="array" ref="I50">SUM(IF('2014-2017 Projects'!$C$6:$C$155="7.12 - Architecture",'2014-2017 Projects'!$AL$6:$AL$155,0))</f>
        <v>0</v>
      </c>
      <c r="J50" s="145">
        <f t="array" ref="J50">SUM(IF('2014-2017 Projects'!$C$6:$C$155="7.12 - Architecture",'2014-2017 Projects'!$AN$6:$AN$155,0))</f>
        <v>0</v>
      </c>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f t="array" ref="AG50">SUM(IF('2014-2017 Projects'!$C$6:$C$155="7.12 - Architecture",'2014-2017 Projects'!$BW$6:$BW$155,0))</f>
        <v>0</v>
      </c>
      <c r="AH50" s="145">
        <f t="array" ref="AH50">SUM(IF('2014-2017 Projects'!$C$6:$C$155="7.12 - Architecture",'2014-2017 Projects'!$BX$6:$BX$155,0))</f>
        <v>0</v>
      </c>
      <c r="AI50" s="145">
        <f t="array" ref="AI50">SUM(IF('2014-2017 Projects'!$C$6:$C$155="7.12 - Architecture",'2014-2017 Projects'!$BV$6:$BV$155,0))</f>
        <v>0</v>
      </c>
      <c r="AJ50" s="145">
        <f t="shared" si="11"/>
        <v>5000000</v>
      </c>
      <c r="AK50" s="145">
        <f t="shared" si="12"/>
        <v>5000000</v>
      </c>
      <c r="AL50" s="453">
        <f t="shared" si="13"/>
        <v>0</v>
      </c>
      <c r="AM50" s="453">
        <f t="shared" si="14"/>
        <v>0</v>
      </c>
      <c r="AN50" s="158"/>
      <c r="AO50" s="158"/>
      <c r="AP50" s="158"/>
      <c r="AQ50" s="158"/>
      <c r="AR50" s="158"/>
      <c r="AS50" s="316"/>
      <c r="AT50" s="333"/>
      <c r="AU50" s="333"/>
      <c r="AV50" s="333"/>
      <c r="AW50" s="156"/>
    </row>
    <row r="51" spans="1:49" s="134" customFormat="1">
      <c r="A51" s="171" t="s">
        <v>236</v>
      </c>
      <c r="B51" s="145">
        <f t="array" ref="B51">SUM(IF('2014-2017 Projects'!$A$6:$A$177="Corporate Services",'2014-2017 Projects'!$AG$6:$AG$177,0))</f>
        <v>6600000</v>
      </c>
      <c r="C51" s="145">
        <f t="array" ref="C51">SUM(IF('2014-2017 Projects'!$A$6:$A$177="Corporate Services",'2014-2017 Projects'!$AG$6:$AG$177,0))</f>
        <v>6600000</v>
      </c>
      <c r="D51" s="145">
        <f t="array" ref="D51">SUM(IF('2014-2017 Projects'!$A$6:$A$177="Corporate Services",'2014-2017 Projects'!$AG$6:$AG$177,0))</f>
        <v>6600000</v>
      </c>
      <c r="E51" s="145">
        <f t="array" ref="E51">SUM(IF('2014-2017 Projects'!$A$6:$A$177="Corporate Services",'2014-2017 Projects'!$AH$6:$AH$177,0))</f>
        <v>0</v>
      </c>
      <c r="F51" s="145">
        <f t="array" ref="F51">SUM(IF('2014-2017 Projects'!$A$6:$A$177="Corporate Services",'2014-2017 Projects'!$AI$6:$AI$177,0))</f>
        <v>6600000</v>
      </c>
      <c r="G51" s="145"/>
      <c r="H51" s="145">
        <f t="array" ref="H51">SUM(IF('2014-2017 Projects'!$C$6:$C$155="7.13 - Land Administration",'2014-2017 Projects'!$AK$6:$AK$155,0))</f>
        <v>5500000</v>
      </c>
      <c r="I51" s="145">
        <f t="array" ref="I51">SUM(IF('2014-2017 Projects'!$C$6:$C$155="7.13 - Land Administration",'2014-2017 Projects'!$AL$6:$AL$155,0))</f>
        <v>0</v>
      </c>
      <c r="J51" s="145">
        <f t="array" ref="J51">SUM(IF('2014-2017 Projects'!$C$6:$C$155="7.13 - Land Administration",'2014-2017 Projects'!$AN$6:$AN$155,0))</f>
        <v>0</v>
      </c>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f t="array" ref="AG51">SUM(IF('2014-2017 Projects'!$C$6:$C$155="7.13 - Land Administration",'2014-2017 Projects'!$BW$6:$BW$155,0))</f>
        <v>0</v>
      </c>
      <c r="AH51" s="145">
        <f t="array" ref="AH51">SUM(IF('2014-2017 Projects'!$C$6:$C$155="7.13 - Land Administration",'2014-2017 Projects'!$BX$6:$BX$155,0))</f>
        <v>0</v>
      </c>
      <c r="AI51" s="145">
        <f t="array" ref="AI51">SUM(IF('2014-2017 Projects'!$C$6:$C$155="7.13 - Land Administration",'2014-2017 Projects'!$BV$6:$BV$155,0))</f>
        <v>0</v>
      </c>
      <c r="AJ51" s="145">
        <f t="shared" si="11"/>
        <v>5500000</v>
      </c>
      <c r="AK51" s="145">
        <f t="shared" si="12"/>
        <v>5500000</v>
      </c>
      <c r="AL51" s="453">
        <f t="shared" si="13"/>
        <v>0</v>
      </c>
      <c r="AM51" s="453">
        <f t="shared" si="14"/>
        <v>0</v>
      </c>
      <c r="AN51" s="158"/>
      <c r="AO51" s="158"/>
      <c r="AP51" s="158"/>
      <c r="AQ51" s="158"/>
      <c r="AR51" s="158"/>
      <c r="AS51" s="316"/>
      <c r="AT51" s="333"/>
      <c r="AU51" s="333"/>
      <c r="AV51" s="333"/>
      <c r="AW51" s="156"/>
    </row>
    <row r="52" spans="1:49" s="134" customFormat="1">
      <c r="A52" s="171" t="s">
        <v>652</v>
      </c>
      <c r="B52" s="145"/>
      <c r="C52" s="145"/>
      <c r="D52" s="145"/>
      <c r="E52" s="145"/>
      <c r="F52" s="145"/>
      <c r="G52" s="145"/>
      <c r="H52" s="145">
        <f t="array" ref="H52">SUM(IF('2014-2017 Projects'!$C$6:$C$155="7.16 - Building Maintenance - Coastal / Central",'2014-2017 Projects'!$AK$6:$AK$155,0))</f>
        <v>9895288</v>
      </c>
      <c r="I52" s="145">
        <f t="array" ref="I52">SUM(IF('2014-2017 Projects'!$C$6:$C$155="7.16 - Building Maintenance - Coastal / Central",'2014-2017 Projects'!$AL$6:$AL$155,0))</f>
        <v>0</v>
      </c>
      <c r="J52" s="145">
        <f t="array" ref="J52">SUM(IF('2014-2017 Projects'!$C$6:$C$155="7.16 - Building Maintenance - Coastal / Central",'2014-2017 Projects'!$AN$6:$AN$155,0))</f>
        <v>0</v>
      </c>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f t="array" ref="AG52">SUM(IF('2014-2017 Projects'!$C$6:$C$155="7.16 - Building Maintenance - Coastal / Central",'2014-2017 Projects'!$BW$6:$BW$155,0))</f>
        <v>0</v>
      </c>
      <c r="AH52" s="145">
        <f t="array" ref="AH52">SUM(IF('2014-2017 Projects'!$C$6:$C$155="7.16 - Building Maintenance - Coastal / Central",'2014-2017 Projects'!$BX$6:$BX$155,0))</f>
        <v>0</v>
      </c>
      <c r="AI52" s="145">
        <f t="array" ref="AI52">SUM(IF('2014-2017 Projects'!$C$6:$C$155="7.16 - Building Maintenance - Coastal / Central",'2014-2017 Projects'!$BV$6:$BV$155,0))</f>
        <v>0</v>
      </c>
      <c r="AJ52" s="145">
        <f t="shared" ref="AJ52" si="39">H52-AG52</f>
        <v>9895288</v>
      </c>
      <c r="AK52" s="145">
        <f t="shared" ref="AK52" si="40">H52-AH52</f>
        <v>9895288</v>
      </c>
      <c r="AL52" s="453">
        <f t="shared" ref="AL52" si="41">AG52/H52</f>
        <v>0</v>
      </c>
      <c r="AM52" s="453">
        <f t="shared" ref="AM52" si="42">AH52/H52</f>
        <v>0</v>
      </c>
      <c r="AN52" s="158"/>
      <c r="AO52" s="158"/>
      <c r="AP52" s="158"/>
      <c r="AQ52" s="158"/>
      <c r="AR52" s="158"/>
      <c r="AS52" s="316"/>
      <c r="AT52" s="333"/>
      <c r="AU52" s="333"/>
      <c r="AV52" s="333"/>
      <c r="AW52" s="156"/>
    </row>
    <row r="53" spans="1:49" s="134" customFormat="1">
      <c r="A53" s="171" t="s">
        <v>237</v>
      </c>
      <c r="B53" s="145">
        <f t="array" ref="B53">SUM(IF('2014-2017 Projects'!$A$6:$A$198="Municipal Manager's Office",'2014-2017 Projects'!$AG$6:$AG$198,0))</f>
        <v>12750000</v>
      </c>
      <c r="C53" s="145">
        <f t="array" ref="C53">SUM(IF('2014-2017 Projects'!$A$6:$A$198="Municipal Manager's Office",'2014-2017 Projects'!$AG$6:$AG$198,0))</f>
        <v>12750000</v>
      </c>
      <c r="D53" s="145">
        <f t="array" ref="D53">SUM(IF('2014-2017 Projects'!$A$6:$A$198="Municipal Manager's Office",'2014-2017 Projects'!$AG$6:$AG$198,0))</f>
        <v>12750000</v>
      </c>
      <c r="E53" s="145">
        <f t="array" ref="E53">SUM(IF('2014-2017 Projects'!$A$6:$A$198="Municipal Manager's Office",'2014-2017 Projects'!$AH$6:$AH$198,0))</f>
        <v>-10000000</v>
      </c>
      <c r="F53" s="145">
        <f t="array" ref="F53">SUM(IF('2014-2017 Projects'!$A$6:$A$198="Municipal Manager's Office",'2014-2017 Projects'!$AI$6:$AI$198,0))</f>
        <v>2750000</v>
      </c>
      <c r="G53" s="145"/>
      <c r="H53" s="145">
        <f t="array" ref="H53">SUM(IF('2014-2017 Projects'!$C$6:$C$155="7.30 - Transport Planning &amp; Operations Admin",'2014-2017 Projects'!$AK$6:$AK$155,0))</f>
        <v>24000000</v>
      </c>
      <c r="I53" s="145">
        <f t="array" ref="I53">SUM(IF('2014-2017 Projects'!$C$6:$C$155="7.30 - Transport Planning &amp; Operations Admin",'2014-2017 Projects'!$AL$6:$AL$155,0))</f>
        <v>52995</v>
      </c>
      <c r="J53" s="145">
        <f t="array" ref="J53">SUM(IF('2014-2017 Projects'!$C$6:$C$155="7.30 - Transport Planning &amp; Operations Admin",'2014-2017 Projects'!$AN$6:$AN$155,0))</f>
        <v>52995</v>
      </c>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f t="array" ref="AG53">SUM(IF('2014-2017 Projects'!$C$6:$C$155="7.30 - Transport Planning &amp; Operations Admin",'2014-2017 Projects'!$BW$6:$BW$155,0))</f>
        <v>52995</v>
      </c>
      <c r="AH53" s="145">
        <f t="array" ref="AH53">SUM(IF('2014-2017 Projects'!$C$6:$C$155="7.30 - Transport Planning &amp; Operations Admin",'2014-2017 Projects'!$BX$6:$BX$155,0))</f>
        <v>52995</v>
      </c>
      <c r="AI53" s="145">
        <f t="array" ref="AI53">SUM(IF('2014-2017 Projects'!$C$6:$C$155="7.30 - Transport Planning &amp; Operations Admin",'2014-2017 Projects'!$BV$6:$BV$155,0))</f>
        <v>3069444.75</v>
      </c>
      <c r="AJ53" s="145">
        <f t="shared" si="11"/>
        <v>23947005</v>
      </c>
      <c r="AK53" s="145">
        <f t="shared" si="12"/>
        <v>23947005</v>
      </c>
      <c r="AL53" s="453">
        <f t="shared" si="13"/>
        <v>2.208125E-3</v>
      </c>
      <c r="AM53" s="453">
        <f t="shared" si="14"/>
        <v>2.208125E-3</v>
      </c>
      <c r="AN53" s="158"/>
      <c r="AO53" s="158"/>
      <c r="AP53" s="158"/>
      <c r="AQ53" s="158"/>
      <c r="AR53" s="158"/>
      <c r="AS53" s="316"/>
      <c r="AT53" s="333"/>
      <c r="AU53" s="333"/>
      <c r="AV53" s="333"/>
      <c r="AW53" s="156"/>
    </row>
    <row r="54" spans="1:49" s="134" customFormat="1">
      <c r="A54" s="171" t="s">
        <v>635</v>
      </c>
      <c r="B54" s="145">
        <f t="array" ref="B54">SUM(IF('2014-2017 Projects'!$A$6:$A$177="Chief Operations Officer",'2014-2017 Projects'!$AG$6:$AG$177,0))</f>
        <v>0</v>
      </c>
      <c r="C54" s="145">
        <f t="array" ref="C54">SUM(IF('2014-2017 Projects'!$A$6:$A$177="Chief Operations Officer",'2014-2017 Projects'!$AG$6:$AG$177,0))</f>
        <v>0</v>
      </c>
      <c r="D54" s="145">
        <f t="array" ref="D54">SUM(IF('2014-2017 Projects'!$A$6:$A$177="Chief Operations Officer",'2014-2017 Projects'!$AG$6:$AG$177,0))</f>
        <v>0</v>
      </c>
      <c r="E54" s="145">
        <f t="array" ref="E54">SUM(IF('2014-2017 Projects'!$A$6:$A$177="Chief Operations Officer",'2014-2017 Projects'!$AH$6:$AH$177,0))</f>
        <v>0</v>
      </c>
      <c r="F54" s="145">
        <f t="array" ref="F54">SUM(IF('2014-2017 Projects'!$A$6:$A$177="Chief Operations Officer",'2014-2017 Projects'!$AI$6:$AI$177,0))</f>
        <v>0</v>
      </c>
      <c r="G54" s="145">
        <f t="array" ref="G54">SUM(IF('2014-2017 Projects'!$A$6:$A$177="Chief Operations Officer",'2014-2017 Projects'!$AG$6:$AG$177,0))</f>
        <v>0</v>
      </c>
      <c r="H54" s="145">
        <f t="array" ref="H54">SUM(IF('2014-2017 Projects'!$C$6:$C$155="7.35 - Local Economic Development",'2014-2017 Projects'!$AK$6:$AK$155,0))</f>
        <v>10000000</v>
      </c>
      <c r="I54" s="145">
        <f t="array" ref="I54">SUM(IF('2014-2017 Projects'!$C$6:$C$155="7.35 - Local Economic Development",'2014-2017 Projects'!$AL$6:$AL$155,0))</f>
        <v>0</v>
      </c>
      <c r="J54" s="145">
        <f t="array" ref="J54">SUM(IF('2014-2017 Projects'!$C$6:$C$155="7.35 - Local Economic Development",'2014-2017 Projects'!$AN$6:$AN$155,0))</f>
        <v>0</v>
      </c>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f t="array" ref="AG54">SUM(IF('2014-2017 Projects'!$C$6:$C$155="7.35 - Local Economic Development",'2014-2017 Projects'!$BW$6:$BW$155,0))</f>
        <v>0</v>
      </c>
      <c r="AH54" s="145">
        <f t="array" ref="AH54">SUM(IF('2014-2017 Projects'!$C$6:$C$155="7.35 - Local Economic Development",'2014-2017 Projects'!$BX$6:$BX$155,0))</f>
        <v>0</v>
      </c>
      <c r="AI54" s="145">
        <f t="array" ref="AI54">SUM(IF('2014-2017 Projects'!$C$6:$C$155="7.35 - Local Economic Development",'2014-2017 Projects'!$BV$6:$BV$155,0))</f>
        <v>0</v>
      </c>
      <c r="AJ54" s="145">
        <f t="shared" si="11"/>
        <v>10000000</v>
      </c>
      <c r="AK54" s="145">
        <f t="shared" si="12"/>
        <v>10000000</v>
      </c>
      <c r="AL54" s="453">
        <f t="shared" si="13"/>
        <v>0</v>
      </c>
      <c r="AM54" s="453">
        <f t="shared" si="14"/>
        <v>0</v>
      </c>
      <c r="AN54" s="158"/>
      <c r="AO54" s="158"/>
      <c r="AP54" s="158"/>
      <c r="AQ54" s="158"/>
      <c r="AR54" s="158"/>
      <c r="AS54" s="316"/>
      <c r="AT54" s="333"/>
      <c r="AU54" s="333"/>
      <c r="AV54" s="333"/>
      <c r="AW54" s="156"/>
    </row>
    <row r="55" spans="1:49" s="134" customFormat="1">
      <c r="A55" s="144" t="s">
        <v>636</v>
      </c>
      <c r="B55" s="145">
        <f t="array" ref="B55">SUM(IF('2014-2017 Projects'!$A$6:$A$177="Financial Services",'2014-2017 Projects'!$AG$6:$AG$177,0))</f>
        <v>0</v>
      </c>
      <c r="C55" s="145">
        <f t="array" ref="C55">SUM(IF('2014-2017 Projects'!$A$6:$A$177="Financial Services",'2014-2017 Projects'!$AG$6:$AG$177,0))</f>
        <v>0</v>
      </c>
      <c r="D55" s="145">
        <f t="array" ref="D55">SUM(IF('2014-2017 Projects'!$A$6:$A$177="Financial Services",'2014-2017 Projects'!$AG$6:$AG$177,0))</f>
        <v>0</v>
      </c>
      <c r="E55" s="145">
        <f t="array" ref="E55">SUM(IF('2014-2017 Projects'!$A$6:$A$177="Financial Services",'2014-2017 Projects'!$AH$6:$AH$177,0))</f>
        <v>0</v>
      </c>
      <c r="F55" s="145">
        <f t="array" ref="F55">SUM(IF('2014-2017 Projects'!$A$6:$A$177="Financial Services",'2014-2017 Projects'!$AI$6:$AI$177,0))</f>
        <v>0</v>
      </c>
      <c r="G55" s="145"/>
      <c r="H55" s="145">
        <f t="array" ref="H55">SUM(IF('2014-2017 Projects'!$C$6:$C$155="7.36 - Market",'2014-2017 Projects'!$AK$6:$AK$155,0))</f>
        <v>0</v>
      </c>
      <c r="I55" s="145">
        <f t="array" ref="I55">SUM(IF('2014-2017 Projects'!$C$6:$C$155="7.36 - Market",'2014-2017 Projects'!$AL$6:$AL$155,0))</f>
        <v>0</v>
      </c>
      <c r="J55" s="145">
        <f t="array" ref="J55">SUM(IF('2014-2017 Projects'!$C$6:$C$155="7.36 - Market",'2014-2017 Projects'!$AN$6:$AN$155,0))</f>
        <v>0</v>
      </c>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f t="array" ref="AG55">SUM(IF('2014-2017 Projects'!$C$6:$C$155="7.36 - Market",'2014-2017 Projects'!$BW$6:$BW$155,0))</f>
        <v>0</v>
      </c>
      <c r="AH55" s="145">
        <f t="array" ref="AH55">SUM(IF('2014-2017 Projects'!$C$6:$C$155="7.36 - Market",'2014-2017 Projects'!$BX$6:$BX$155,0))</f>
        <v>0</v>
      </c>
      <c r="AI55" s="145">
        <f t="array" ref="AI55">SUM(IF('2014-2017 Projects'!$C$6:$C$155="7.36 - Market",'2014-2017 Projects'!$BV$6:$BV$155,0))</f>
        <v>0</v>
      </c>
      <c r="AJ55" s="145">
        <f t="shared" si="11"/>
        <v>0</v>
      </c>
      <c r="AK55" s="145">
        <f t="shared" si="12"/>
        <v>0</v>
      </c>
      <c r="AL55" s="453" t="e">
        <f t="shared" si="13"/>
        <v>#DIV/0!</v>
      </c>
      <c r="AM55" s="453" t="e">
        <f t="shared" si="14"/>
        <v>#DIV/0!</v>
      </c>
      <c r="AN55" s="158"/>
      <c r="AO55" s="158"/>
      <c r="AP55" s="158"/>
      <c r="AQ55" s="158"/>
      <c r="AR55" s="158"/>
      <c r="AS55" s="316"/>
      <c r="AT55" s="333"/>
      <c r="AU55" s="333"/>
      <c r="AV55" s="333"/>
      <c r="AW55" s="156"/>
    </row>
    <row r="56" spans="1:49" s="134" customFormat="1">
      <c r="A56" s="144" t="s">
        <v>238</v>
      </c>
      <c r="B56" s="145">
        <f t="array" ref="B56">SUM(IF('2014-2017 Projects'!$A$6:$A$177="Corporate Services",'2014-2017 Projects'!$AG$6:$AG$177,0))</f>
        <v>6600000</v>
      </c>
      <c r="C56" s="145">
        <f t="array" ref="C56">SUM(IF('2014-2017 Projects'!$A$6:$A$177="Corporate Services",'2014-2017 Projects'!$AG$6:$AG$177,0))</f>
        <v>6600000</v>
      </c>
      <c r="D56" s="145">
        <f t="array" ref="D56">SUM(IF('2014-2017 Projects'!$A$6:$A$177="Corporate Services",'2014-2017 Projects'!$AG$6:$AG$177,0))</f>
        <v>6600000</v>
      </c>
      <c r="E56" s="145">
        <f t="array" ref="E56">SUM(IF('2014-2017 Projects'!$A$6:$A$177="Corporate Services",'2014-2017 Projects'!$AH$6:$AH$177,0))</f>
        <v>0</v>
      </c>
      <c r="F56" s="145">
        <f t="array" ref="F56">SUM(IF('2014-2017 Projects'!$A$6:$A$177="Corporate Services",'2014-2017 Projects'!$AI$6:$AI$177,0))</f>
        <v>6600000</v>
      </c>
      <c r="G56" s="145"/>
      <c r="H56" s="145">
        <f t="array" ref="H56">SUM(IF('2014-2017 Projects'!$C$6:$C$155="8.1 - Office of The Director of Health &amp; Public Safety",'2014-2017 Projects'!$AK$6:$AK$155,0))</f>
        <v>30000</v>
      </c>
      <c r="I56" s="145">
        <f t="array" ref="I56">SUM(IF('2014-2017 Projects'!$C$6:$C$155="8.1 - Office of The Director of Health &amp; Public Safety",'2014-2017 Projects'!$AL$6:$AL$155,0))</f>
        <v>0</v>
      </c>
      <c r="J56" s="145">
        <f t="array" ref="J56">SUM(IF('2014-2017 Projects'!$C$6:$C$155="8.1 - Office of The Director of Health &amp; Public Safety",'2014-2017 Projects'!$AN$6:$AN$155,0))</f>
        <v>0</v>
      </c>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f t="array" ref="AG56">SUM(IF('2014-2017 Projects'!$C$6:$C$155="8.1 - Office of The Director of Health &amp; Public Safety",'2014-2017 Projects'!$BW$6:$BW$155,0))</f>
        <v>0</v>
      </c>
      <c r="AH56" s="145">
        <f t="array" ref="AH56">SUM(IF('2014-2017 Projects'!$C$6:$C$155="8.1 - Office of The Director of Health &amp; Public Safety",'2014-2017 Projects'!$BX$6:$BX$155,0))</f>
        <v>0</v>
      </c>
      <c r="AI56" s="145">
        <f t="array" ref="AI56">SUM(IF('2014-2017 Projects'!$C$6:$C$155="8.1 - Office of The Director of Health &amp; Public Safety",'2014-2017 Projects'!$BV$6:$BV$155,0))</f>
        <v>0</v>
      </c>
      <c r="AJ56" s="145">
        <f t="shared" si="11"/>
        <v>30000</v>
      </c>
      <c r="AK56" s="145">
        <f t="shared" si="12"/>
        <v>30000</v>
      </c>
      <c r="AL56" s="453">
        <f t="shared" si="13"/>
        <v>0</v>
      </c>
      <c r="AM56" s="453">
        <f t="shared" si="14"/>
        <v>0</v>
      </c>
      <c r="AN56" s="158"/>
      <c r="AO56" s="158"/>
      <c r="AP56" s="158"/>
      <c r="AQ56" s="158"/>
      <c r="AR56" s="158"/>
      <c r="AS56" s="316"/>
      <c r="AT56" s="333"/>
      <c r="AU56" s="333"/>
      <c r="AV56" s="333"/>
      <c r="AW56" s="156"/>
    </row>
    <row r="57" spans="1:49" s="134" customFormat="1">
      <c r="A57" s="144" t="s">
        <v>682</v>
      </c>
      <c r="B57" s="145"/>
      <c r="C57" s="145"/>
      <c r="D57" s="145"/>
      <c r="E57" s="145"/>
      <c r="F57" s="145"/>
      <c r="G57" s="145"/>
      <c r="H57" s="145">
        <f t="array" ref="H57">SUM(IF('2014-2017 Projects'!$C$6:$C$155="8.3 - Health Administration",'2014-2017 Projects'!$AK$6:$AK$155,0))</f>
        <v>70000</v>
      </c>
      <c r="I57" s="145">
        <f t="array" ref="I57">SUM(IF('2014-2017 Projects'!$C$6:$C$155="8.3 - Health Administration",'2014-2017 Projects'!$AL$6:$AL$155,0))</f>
        <v>0</v>
      </c>
      <c r="J57" s="145">
        <f t="array" ref="J57">SUM(IF('2014-2017 Projects'!$C$6:$C$155="8.3 - Health Administration",'2014-2017 Projects'!$AN$6:$AN$155,0))</f>
        <v>0</v>
      </c>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f t="array" ref="AG57">SUM(IF('2014-2017 Projects'!$C$6:$C$155="8.3 - Health Administration",'2014-2017 Projects'!$BW$6:$BW$155,0))</f>
        <v>0</v>
      </c>
      <c r="AH57" s="145">
        <f t="array" ref="AH57">SUM(IF('2014-2017 Projects'!$C$6:$C$155="8.3 - Health Administration",'2014-2017 Projects'!$BX$6:$BX$155,0))</f>
        <v>0</v>
      </c>
      <c r="AI57" s="145">
        <f t="array" ref="AI57">SUM(IF('2014-2017 Projects'!$C$6:$C$155="8.3 - Health Administration",'2014-2017 Projects'!$BV$6:$BV$155,0))</f>
        <v>0</v>
      </c>
      <c r="AJ57" s="145">
        <f t="shared" si="11"/>
        <v>70000</v>
      </c>
      <c r="AK57" s="145">
        <f t="shared" si="12"/>
        <v>70000</v>
      </c>
      <c r="AL57" s="453">
        <f t="shared" si="13"/>
        <v>0</v>
      </c>
      <c r="AM57" s="453">
        <f t="shared" si="14"/>
        <v>0</v>
      </c>
      <c r="AN57" s="158"/>
      <c r="AO57" s="158"/>
      <c r="AP57" s="158"/>
      <c r="AQ57" s="158"/>
      <c r="AR57" s="158"/>
      <c r="AS57" s="316"/>
      <c r="AT57" s="333"/>
      <c r="AU57" s="333"/>
      <c r="AV57" s="333"/>
      <c r="AW57" s="156"/>
    </row>
    <row r="58" spans="1:49" s="134" customFormat="1">
      <c r="A58" s="144" t="s">
        <v>640</v>
      </c>
      <c r="B58" s="145">
        <f t="array" ref="B58">SUM(IF('2014-2017 Projects'!$A$6:$A$198="Municipal Manager's Office",'2014-2017 Projects'!$AG$6:$AG$198,0))</f>
        <v>12750000</v>
      </c>
      <c r="C58" s="145">
        <f t="array" ref="C58">SUM(IF('2014-2017 Projects'!$A$6:$A$198="Municipal Manager's Office",'2014-2017 Projects'!$AG$6:$AG$198,0))</f>
        <v>12750000</v>
      </c>
      <c r="D58" s="145">
        <f t="array" ref="D58">SUM(IF('2014-2017 Projects'!$A$6:$A$198="Municipal Manager's Office",'2014-2017 Projects'!$AG$6:$AG$198,0))</f>
        <v>12750000</v>
      </c>
      <c r="E58" s="145">
        <f t="array" ref="E58">SUM(IF('2014-2017 Projects'!$A$6:$A$198="Municipal Manager's Office",'2014-2017 Projects'!$AH$6:$AH$198,0))</f>
        <v>-10000000</v>
      </c>
      <c r="F58" s="145">
        <f t="array" ref="F58">SUM(IF('2014-2017 Projects'!$A$6:$A$198="Municipal Manager's Office",'2014-2017 Projects'!$AI$6:$AI$198,0))</f>
        <v>2750000</v>
      </c>
      <c r="G58" s="145"/>
      <c r="H58" s="145">
        <f t="array" ref="H58">SUM(IF('2014-2017 Projects'!$C$6:$C$155="8.4 - Health Support",'2014-2017 Projects'!$AK$6:$AK$155,0))</f>
        <v>0</v>
      </c>
      <c r="I58" s="145">
        <f t="array" ref="I58">SUM(IF('2014-2017 Projects'!$C$6:$C$155="8.4 - Health Support",'2014-2017 Projects'!$AL$6:$AL$155,0))</f>
        <v>0</v>
      </c>
      <c r="J58" s="145">
        <f t="array" ref="J58">SUM(IF('2014-2017 Projects'!$C$6:$C$155="8.4 - Health Support",'2014-2017 Projects'!$AN$6:$AN$155,0))</f>
        <v>0</v>
      </c>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f t="array" ref="AG58">SUM(IF('2014-2017 Projects'!$C$6:$C$155="8.4 - Health Support",'2014-2017 Projects'!$BW$6:$BW$155,0))</f>
        <v>0</v>
      </c>
      <c r="AH58" s="145">
        <f t="array" ref="AH58">SUM(IF('2014-2017 Projects'!$C$6:$C$155="8.4 - Health Support",'2014-2017 Projects'!$BX$6:$BX$155,0))</f>
        <v>0</v>
      </c>
      <c r="AI58" s="145">
        <f t="array" ref="AI58">SUM(IF('2014-2017 Projects'!$C$6:$C$155="8.4 - Health Support",'2014-2017 Projects'!$BV$6:$BV$155,0))</f>
        <v>0</v>
      </c>
      <c r="AJ58" s="145">
        <f>H58-AG58</f>
        <v>0</v>
      </c>
      <c r="AK58" s="145">
        <f>H58-AH58</f>
        <v>0</v>
      </c>
      <c r="AL58" s="453" t="e">
        <f>AG58/H58</f>
        <v>#DIV/0!</v>
      </c>
      <c r="AM58" s="453" t="e">
        <f>AH58/H58</f>
        <v>#DIV/0!</v>
      </c>
      <c r="AN58" s="158"/>
      <c r="AO58" s="158"/>
      <c r="AP58" s="158"/>
      <c r="AQ58" s="158"/>
      <c r="AR58" s="158"/>
      <c r="AS58" s="316"/>
      <c r="AT58" s="333"/>
      <c r="AU58" s="333"/>
      <c r="AV58" s="333"/>
      <c r="AW58" s="156"/>
    </row>
    <row r="59" spans="1:49" s="134" customFormat="1">
      <c r="A59" s="144" t="s">
        <v>684</v>
      </c>
      <c r="B59" s="145"/>
      <c r="C59" s="145"/>
      <c r="D59" s="145"/>
      <c r="E59" s="145"/>
      <c r="F59" s="145"/>
      <c r="G59" s="145"/>
      <c r="H59" s="145">
        <f t="array" ref="H59">SUM(IF('2014-2017 Projects'!$C$6:$C$155="8.12 - Public Safety Administration",'2014-2017 Projects'!$AK$6:$AK$155,0))</f>
        <v>21000</v>
      </c>
      <c r="I59" s="145">
        <f t="array" ref="I59">SUM(IF('2014-2017 Projects'!$C$6:$C$155="8.12 - Public Safety Administration",'2014-2017 Projects'!$AL$6:$AL$155,0))</f>
        <v>0</v>
      </c>
      <c r="J59" s="145">
        <f t="array" ref="J59">SUM(IF('2014-2017 Projects'!$C$6:$C$155="8.12 - Public Safety Administration",'2014-2017 Projects'!$AN$6:$AN$155,0))</f>
        <v>0</v>
      </c>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f t="array" ref="AG59">SUM(IF('2014-2017 Projects'!$C$6:$C$155="8.12 - Public Safety Administration",'2014-2017 Projects'!$BW$6:$BW$155,0))</f>
        <v>0</v>
      </c>
      <c r="AH59" s="145">
        <f t="array" ref="AH59">SUM(IF('2014-2017 Projects'!$C$6:$C$155="8.12 - Public Safety Administration",'2014-2017 Projects'!$BX$6:$BX$155,0))</f>
        <v>0</v>
      </c>
      <c r="AI59" s="145">
        <f t="array" ref="AI59">SUM(IF('2014-2017 Projects'!$C$6:$C$155="8.12 - Public Safety Administration",'2014-2017 Projects'!$BV$6:$BV$155,0))</f>
        <v>0</v>
      </c>
      <c r="AJ59" s="145">
        <f>H59-AG59</f>
        <v>21000</v>
      </c>
      <c r="AK59" s="145">
        <f>H59-AH59</f>
        <v>21000</v>
      </c>
      <c r="AL59" s="453">
        <f>AG59/H59</f>
        <v>0</v>
      </c>
      <c r="AM59" s="453">
        <f>AH59/H59</f>
        <v>0</v>
      </c>
      <c r="AN59" s="158"/>
      <c r="AO59" s="158"/>
      <c r="AP59" s="158"/>
      <c r="AQ59" s="158"/>
      <c r="AR59" s="158"/>
      <c r="AS59" s="316"/>
      <c r="AT59" s="333"/>
      <c r="AU59" s="333"/>
      <c r="AV59" s="333"/>
      <c r="AW59" s="156"/>
    </row>
    <row r="60" spans="1:49" s="134" customFormat="1">
      <c r="A60" s="144" t="s">
        <v>637</v>
      </c>
      <c r="B60" s="145">
        <f t="array" ref="B60">SUM(IF('2014-2017 Projects'!$A$6:$A$198="Municipal Manager's Office",'2014-2017 Projects'!$AG$6:$AG$198,0))</f>
        <v>12750000</v>
      </c>
      <c r="C60" s="145">
        <f t="array" ref="C60">SUM(IF('2014-2017 Projects'!$A$6:$A$198="Municipal Manager's Office",'2014-2017 Projects'!$AG$6:$AG$198,0))</f>
        <v>12750000</v>
      </c>
      <c r="D60" s="145">
        <f t="array" ref="D60">SUM(IF('2014-2017 Projects'!$A$6:$A$198="Municipal Manager's Office",'2014-2017 Projects'!$AG$6:$AG$198,0))</f>
        <v>12750000</v>
      </c>
      <c r="E60" s="145">
        <f t="array" ref="E60">SUM(IF('2014-2017 Projects'!$A$6:$A$198="Municipal Manager's Office",'2014-2017 Projects'!$AH$6:$AH$198,0))</f>
        <v>-10000000</v>
      </c>
      <c r="F60" s="145">
        <f t="array" ref="F60">SUM(IF('2014-2017 Projects'!$A$6:$A$198="Municipal Manager's Office",'2014-2017 Projects'!$AI$6:$AI$198,0))</f>
        <v>2750000</v>
      </c>
      <c r="G60" s="145"/>
      <c r="H60" s="145">
        <f t="array" ref="H60">SUM(IF('2014-2017 Projects'!$C$6:$C$155="8.13 - Fire and Rescue Services",'2014-2017 Projects'!$AK$6:$AK$155,0))</f>
        <v>4080000</v>
      </c>
      <c r="I60" s="145">
        <f t="array" ref="I60">SUM(IF('2014-2017 Projects'!$C$6:$C$155="8.13 - Fire and Rescue Services",'2014-2017 Projects'!$AL$6:$AL$155,0))</f>
        <v>0</v>
      </c>
      <c r="J60" s="145">
        <f t="array" ref="J60">SUM(IF('2014-2017 Projects'!$C$6:$C$155="8.13 - Fire and Rescue Services",'2014-2017 Projects'!$AN$6:$AN$155,0))</f>
        <v>0</v>
      </c>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f t="array" ref="AG60">SUM(IF('2014-2017 Projects'!$C$6:$C$155="8.13 - Fire and Rescue Services",'2014-2017 Projects'!$BW$6:$BW$155,0))</f>
        <v>0</v>
      </c>
      <c r="AH60" s="145">
        <f t="array" ref="AH60">SUM(IF('2014-2017 Projects'!$C$6:$C$155="8.13 - Fire and Rescue Services",'2014-2017 Projects'!$BX$6:$BX$155,0))</f>
        <v>0</v>
      </c>
      <c r="AI60" s="145">
        <f t="array" ref="AI60">SUM(IF('2014-2017 Projects'!$C$6:$C$155="8.13 - Fire and Rescue Services",'2014-2017 Projects'!$BV$6:$BV$155,0))</f>
        <v>0</v>
      </c>
      <c r="AJ60" s="145">
        <f t="shared" si="11"/>
        <v>4080000</v>
      </c>
      <c r="AK60" s="145">
        <f t="shared" si="12"/>
        <v>4080000</v>
      </c>
      <c r="AL60" s="453">
        <f t="shared" si="13"/>
        <v>0</v>
      </c>
      <c r="AM60" s="453">
        <f t="shared" si="14"/>
        <v>0</v>
      </c>
      <c r="AN60" s="158"/>
      <c r="AO60" s="158"/>
      <c r="AP60" s="158"/>
      <c r="AQ60" s="158"/>
      <c r="AR60" s="158"/>
      <c r="AS60" s="316"/>
      <c r="AT60" s="333"/>
      <c r="AU60" s="333"/>
      <c r="AV60" s="333"/>
      <c r="AW60" s="156"/>
    </row>
    <row r="61" spans="1:49" s="134" customFormat="1">
      <c r="A61" s="144" t="s">
        <v>638</v>
      </c>
      <c r="B61" s="145">
        <f t="array" ref="B61">SUM(IF('2014-2017 Projects'!$A$6:$A$177="Chief Operations Officer",'2014-2017 Projects'!$AG$6:$AG$177,0))</f>
        <v>0</v>
      </c>
      <c r="C61" s="145">
        <f t="array" ref="C61">SUM(IF('2014-2017 Projects'!$A$6:$A$177="Chief Operations Officer",'2014-2017 Projects'!$AG$6:$AG$177,0))</f>
        <v>0</v>
      </c>
      <c r="D61" s="145">
        <f t="array" ref="D61">SUM(IF('2014-2017 Projects'!$A$6:$A$177="Chief Operations Officer",'2014-2017 Projects'!$AG$6:$AG$177,0))</f>
        <v>0</v>
      </c>
      <c r="E61" s="145">
        <f t="array" ref="E61">SUM(IF('2014-2017 Projects'!$A$6:$A$177="Chief Operations Officer",'2014-2017 Projects'!$AH$6:$AH$177,0))</f>
        <v>0</v>
      </c>
      <c r="F61" s="145">
        <f t="array" ref="F61">SUM(IF('2014-2017 Projects'!$A$6:$A$177="Chief Operations Officer",'2014-2017 Projects'!$AI$6:$AI$177,0))</f>
        <v>0</v>
      </c>
      <c r="G61" s="145">
        <f t="array" ref="G61">SUM(IF('2014-2017 Projects'!$A$6:$A$177="Chief Operations Officer",'2014-2017 Projects'!$AG$6:$AG$177,0))</f>
        <v>0</v>
      </c>
      <c r="H61" s="145">
        <f t="array" ref="H61">SUM(IF('2014-2017 Projects'!$C$6:$C$155="8.14 - Security Services",'2014-2017 Projects'!$AK$6:$AK$155,0))</f>
        <v>2114110</v>
      </c>
      <c r="I61" s="145">
        <f t="array" ref="I61">SUM(IF('2014-2017 Projects'!$C$6:$C$155="8.14 - Security Services",'2014-2017 Projects'!$AL$6:$AL$155,0))</f>
        <v>0</v>
      </c>
      <c r="J61" s="145">
        <f t="array" ref="J61">SUM(IF('2014-2017 Projects'!$C$6:$C$155="8.14 - Security Services",'2014-2017 Projects'!$AN$6:$AN$155,0))</f>
        <v>0</v>
      </c>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f t="array" ref="AG61">SUM(IF('2014-2017 Projects'!$C$6:$C$155="8.14 - Security Services",'2014-2017 Projects'!$BW$6:$BW$155,0))</f>
        <v>0</v>
      </c>
      <c r="AH61" s="145">
        <f t="array" ref="AH61">SUM(IF('2014-2017 Projects'!$C$6:$C$155="8.14 - Security Services",'2014-2017 Projects'!$BX$6:$BX$155,0))</f>
        <v>0</v>
      </c>
      <c r="AI61" s="145">
        <f t="array" ref="AI61">SUM(IF('2014-2017 Projects'!$C$6:$C$155="8.14 - Security Services",'2014-2017 Projects'!$BV$6:$BV$155,0))</f>
        <v>0</v>
      </c>
      <c r="AJ61" s="145">
        <f t="shared" si="11"/>
        <v>2114110</v>
      </c>
      <c r="AK61" s="145">
        <f t="shared" si="12"/>
        <v>2114110</v>
      </c>
      <c r="AL61" s="453">
        <f t="shared" si="13"/>
        <v>0</v>
      </c>
      <c r="AM61" s="453">
        <f t="shared" si="14"/>
        <v>0</v>
      </c>
      <c r="AN61" s="158"/>
      <c r="AO61" s="158"/>
      <c r="AP61" s="158"/>
      <c r="AQ61" s="158"/>
      <c r="AR61" s="158"/>
      <c r="AS61" s="316"/>
      <c r="AT61" s="333"/>
      <c r="AU61" s="333"/>
      <c r="AV61" s="333"/>
      <c r="AW61" s="156"/>
    </row>
    <row r="62" spans="1:49" s="134" customFormat="1">
      <c r="A62" s="171" t="s">
        <v>239</v>
      </c>
      <c r="B62" s="145">
        <f t="array" ref="B62">SUM(IF('2014-2017 Projects'!$A$6:$A$177="Financial Services",'2014-2017 Projects'!$AG$6:$AG$177,0))</f>
        <v>0</v>
      </c>
      <c r="C62" s="145">
        <f t="array" ref="C62">SUM(IF('2014-2017 Projects'!$A$6:$A$177="Financial Services",'2014-2017 Projects'!$AG$6:$AG$177,0))</f>
        <v>0</v>
      </c>
      <c r="D62" s="145">
        <f t="array" ref="D62">SUM(IF('2014-2017 Projects'!$A$6:$A$177="Financial Services",'2014-2017 Projects'!$AG$6:$AG$177,0))</f>
        <v>0</v>
      </c>
      <c r="E62" s="145">
        <f t="array" ref="E62">SUM(IF('2014-2017 Projects'!$A$6:$A$177="Financial Services",'2014-2017 Projects'!$AH$6:$AH$177,0))</f>
        <v>0</v>
      </c>
      <c r="F62" s="145">
        <f t="array" ref="F62">SUM(IF('2014-2017 Projects'!$A$6:$A$177="Financial Services",'2014-2017 Projects'!$AI$6:$AI$177,0))</f>
        <v>0</v>
      </c>
      <c r="G62" s="145"/>
      <c r="H62" s="145">
        <f t="array" ref="H62">SUM(IF('2014-2017 Projects'!$C$6:$C$155="8.15 - Traffic Administration",'2014-2017 Projects'!$AK$6:$AK$155,0))</f>
        <v>211190</v>
      </c>
      <c r="I62" s="145">
        <f t="array" ref="I62">SUM(IF('2014-2017 Projects'!$C$6:$C$155="8.15 - Traffic Administration",'2014-2017 Projects'!$AL$6:$AL$155,0))</f>
        <v>0</v>
      </c>
      <c r="J62" s="145">
        <f t="array" ref="J62">SUM(IF('2014-2017 Projects'!$C$6:$C$155="8.15 - Traffic Administration",'2014-2017 Projects'!$AN$6:$AN$155,0))</f>
        <v>0</v>
      </c>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f t="array" ref="AG62">SUM(IF('2014-2017 Projects'!$C$6:$C$155="8.15 - Traffic Administration",'2014-2017 Projects'!$BW$6:$BW$155,0))</f>
        <v>0</v>
      </c>
      <c r="AH62" s="145">
        <f t="array" ref="AH62">SUM(IF('2014-2017 Projects'!$C$6:$C$155="8.15 - Traffic Administration",'2014-2017 Projects'!$BX$6:$BX$155,0))</f>
        <v>0</v>
      </c>
      <c r="AI62" s="145">
        <f t="array" ref="AI62">SUM(IF('2014-2017 Projects'!$C$6:$C$155="8.15 - Traffic Administration",'2014-2017 Projects'!$BV$6:$BV$155,0))</f>
        <v>0</v>
      </c>
      <c r="AJ62" s="145">
        <f t="shared" si="11"/>
        <v>211190</v>
      </c>
      <c r="AK62" s="145">
        <f t="shared" si="12"/>
        <v>211190</v>
      </c>
      <c r="AL62" s="453">
        <f t="shared" si="13"/>
        <v>0</v>
      </c>
      <c r="AM62" s="453">
        <f t="shared" si="14"/>
        <v>0</v>
      </c>
      <c r="AN62" s="158"/>
      <c r="AO62" s="158"/>
      <c r="AP62" s="158"/>
      <c r="AQ62" s="158"/>
      <c r="AR62" s="158"/>
      <c r="AS62" s="316"/>
      <c r="AT62" s="333"/>
      <c r="AU62" s="333"/>
      <c r="AV62" s="333"/>
      <c r="AW62" s="156"/>
    </row>
    <row r="63" spans="1:49" s="134" customFormat="1">
      <c r="A63" s="171" t="s">
        <v>653</v>
      </c>
      <c r="B63" s="145"/>
      <c r="C63" s="145"/>
      <c r="D63" s="145"/>
      <c r="E63" s="145"/>
      <c r="F63" s="145"/>
      <c r="G63" s="145"/>
      <c r="H63" s="145">
        <f t="array" ref="H63">SUM(IF('2014-2017 Projects'!$C$6:$C$155="8.16 - Traffic Control",'2014-2017 Projects'!$AK$6:$AK$155,0))</f>
        <v>3200000</v>
      </c>
      <c r="I63" s="145">
        <f t="array" ref="I63">SUM(IF('2014-2017 Projects'!$C$6:$C$155="8.16 - Traffic Control",'2014-2017 Projects'!$AL$6:$AL$155,0))</f>
        <v>1102.6300000000001</v>
      </c>
      <c r="J63" s="145">
        <f t="array" ref="J63">SUM(IF('2014-2017 Projects'!$C$6:$C$155="8.16 - Traffic Control",'2014-2017 Projects'!$AN$6:$AN$155,0))</f>
        <v>1102.6300000000001</v>
      </c>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f t="array" ref="AG63">SUM(IF('2014-2017 Projects'!$C$6:$C$155="8.16 - Traffic Control",'2014-2017 Projects'!$BW$6:$BW$155,0))</f>
        <v>1102.6300000000001</v>
      </c>
      <c r="AH63" s="145">
        <f t="array" ref="AH63">SUM(IF('2014-2017 Projects'!$C$6:$C$155="8.16 - Traffic Control",'2014-2017 Projects'!$BX$6:$BX$155,0))</f>
        <v>1102.6300000000001</v>
      </c>
      <c r="AI63" s="145">
        <f t="array" ref="AI63">SUM(IF('2014-2017 Projects'!$C$6:$C$155="8.16 - Traffic Control",'2014-2017 Projects'!$BV$6:$BV$155,0))</f>
        <v>0</v>
      </c>
      <c r="AJ63" s="145">
        <f t="shared" ref="AJ63" si="43">H63-AG63</f>
        <v>3198897.37</v>
      </c>
      <c r="AK63" s="145">
        <f t="shared" ref="AK63" si="44">H63-AH63</f>
        <v>3198897.37</v>
      </c>
      <c r="AL63" s="453">
        <f t="shared" ref="AL63" si="45">AG63/H63</f>
        <v>3.4457187500000003E-4</v>
      </c>
      <c r="AM63" s="453">
        <f t="shared" ref="AM63" si="46">AH63/H63</f>
        <v>3.4457187500000003E-4</v>
      </c>
      <c r="AN63" s="158"/>
      <c r="AO63" s="158"/>
      <c r="AP63" s="158"/>
      <c r="AQ63" s="158"/>
      <c r="AR63" s="158"/>
      <c r="AS63" s="316"/>
      <c r="AT63" s="333"/>
      <c r="AU63" s="333"/>
      <c r="AV63" s="333"/>
      <c r="AW63" s="156"/>
    </row>
    <row r="64" spans="1:49" s="134" customFormat="1">
      <c r="A64" s="171" t="s">
        <v>639</v>
      </c>
      <c r="B64" s="145">
        <f t="array" ref="B64">SUM(IF('2014-2017 Projects'!$A$6:$A$177="Corporate Services",'2014-2017 Projects'!$AG$6:$AG$177,0))</f>
        <v>6600000</v>
      </c>
      <c r="C64" s="145">
        <f t="array" ref="C64">SUM(IF('2014-2017 Projects'!$A$6:$A$177="Corporate Services",'2014-2017 Projects'!$AG$6:$AG$177,0))</f>
        <v>6600000</v>
      </c>
      <c r="D64" s="145">
        <f t="array" ref="D64">SUM(IF('2014-2017 Projects'!$A$6:$A$177="Corporate Services",'2014-2017 Projects'!$AG$6:$AG$177,0))</f>
        <v>6600000</v>
      </c>
      <c r="E64" s="145">
        <f t="array" ref="E64">SUM(IF('2014-2017 Projects'!$A$6:$A$177="Corporate Services",'2014-2017 Projects'!$AH$6:$AH$177,0))</f>
        <v>0</v>
      </c>
      <c r="F64" s="145">
        <f t="array" ref="F64">SUM(IF('2014-2017 Projects'!$A$6:$A$177="Corporate Services",'2014-2017 Projects'!$AI$6:$AI$177,0))</f>
        <v>6600000</v>
      </c>
      <c r="G64" s="145"/>
      <c r="H64" s="145">
        <f t="array" ref="H64">SUM(IF('2014-2017 Projects'!$C$6:$C$155="8.18 - Vehicle Test Station / Examination",'2014-2017 Projects'!$AK$6:$AK$155,0))</f>
        <v>0</v>
      </c>
      <c r="I64" s="145">
        <f t="array" ref="I64">SUM(IF('2014-2017 Projects'!$C$6:$C$155="8.18 - Vehicle Test Station / Examination",'2014-2017 Projects'!$AL$6:$AL$155,0))</f>
        <v>0</v>
      </c>
      <c r="J64" s="145">
        <f t="array" ref="J64">SUM(IF('2014-2017 Projects'!$C$6:$C$155="8.18 - Vehicle Test Station / Examination",'2014-2017 Projects'!$AN$6:$AN$155,0))</f>
        <v>0</v>
      </c>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f t="array" ref="AG64">SUM(IF('2014-2017 Projects'!$C$6:$C$155="8.18 - Vehicle Test Station / Examination",'2014-2017 Projects'!$BW$6:$BW$155,0))</f>
        <v>0</v>
      </c>
      <c r="AH64" s="145">
        <f t="array" ref="AH64">SUM(IF('2014-2017 Projects'!$C$6:$C$155="8.18 - Vehicle Test Station / Examination",'2014-2017 Projects'!$BX$6:$BX$155,0))</f>
        <v>0</v>
      </c>
      <c r="AI64" s="145">
        <f t="array" ref="AI64">SUM(IF('2014-2017 Projects'!$C$6:$C$155="8.18 - Vehicle Test Station / Examination",'2014-2017 Projects'!$BV$6:$BV$155,0))</f>
        <v>0</v>
      </c>
      <c r="AJ64" s="145">
        <f t="shared" si="11"/>
        <v>0</v>
      </c>
      <c r="AK64" s="145">
        <f t="shared" si="12"/>
        <v>0</v>
      </c>
      <c r="AL64" s="453" t="e">
        <f t="shared" si="13"/>
        <v>#DIV/0!</v>
      </c>
      <c r="AM64" s="453" t="e">
        <f t="shared" si="14"/>
        <v>#DIV/0!</v>
      </c>
      <c r="AN64" s="158"/>
      <c r="AO64" s="158"/>
      <c r="AP64" s="158"/>
      <c r="AQ64" s="158"/>
      <c r="AR64" s="158"/>
      <c r="AS64" s="316"/>
      <c r="AT64" s="333"/>
      <c r="AU64" s="333"/>
      <c r="AV64" s="333"/>
      <c r="AW64" s="156"/>
    </row>
    <row r="65" spans="1:49" s="134" customFormat="1">
      <c r="A65" s="171" t="s">
        <v>683</v>
      </c>
      <c r="B65" s="145"/>
      <c r="C65" s="145"/>
      <c r="D65" s="145"/>
      <c r="E65" s="145"/>
      <c r="F65" s="145"/>
      <c r="G65" s="145"/>
      <c r="H65" s="145">
        <f t="array" ref="H65">SUM(IF('2014-2017 Projects'!$C$6:$C$155="8.23 - Disaster Management",'2014-2017 Projects'!$AK$6:$AK$155,0))</f>
        <v>73700</v>
      </c>
      <c r="I65" s="145">
        <f t="array" ref="I65">SUM(IF('2014-2017 Projects'!$C$6:$C$155="8.23 - Disaster Management",'2014-2017 Projects'!$AL$6:$AL$155,0))</f>
        <v>0</v>
      </c>
      <c r="J65" s="145">
        <f t="array" ref="J65">SUM(IF('2014-2017 Projects'!$C$6:$C$155="8.23 - Disaster Management",'2014-2017 Projects'!$AN$6:$AN$155,0))</f>
        <v>0</v>
      </c>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f t="array" ref="AG65">SUM(IF('2014-2017 Projects'!$C$6:$C$155="8.23 - Disaster Management",'2014-2017 Projects'!$BW$6:$BW$155,0))</f>
        <v>0</v>
      </c>
      <c r="AH65" s="145">
        <f t="array" ref="AH65">SUM(IF('2014-2017 Projects'!$C$6:$C$155="8.23 - Disaster Management",'2014-2017 Projects'!$BX$6:$BX$155,0))</f>
        <v>0</v>
      </c>
      <c r="AI65" s="145">
        <f t="array" ref="AI65">SUM(IF('2014-2017 Projects'!$C$6:$C$155="8.23 - Disaster Management",'2014-2017 Projects'!$BV$6:$BV$155,0))</f>
        <v>0</v>
      </c>
      <c r="AJ65" s="145">
        <f t="shared" si="11"/>
        <v>73700</v>
      </c>
      <c r="AK65" s="145">
        <f t="shared" si="12"/>
        <v>73700</v>
      </c>
      <c r="AL65" s="453">
        <f t="shared" si="13"/>
        <v>0</v>
      </c>
      <c r="AM65" s="453">
        <f t="shared" si="14"/>
        <v>0</v>
      </c>
      <c r="AN65" s="158"/>
      <c r="AO65" s="158"/>
      <c r="AP65" s="158"/>
      <c r="AQ65" s="158"/>
      <c r="AR65" s="158"/>
      <c r="AS65" s="316"/>
      <c r="AT65" s="333"/>
      <c r="AU65" s="333"/>
      <c r="AV65" s="333"/>
      <c r="AW65" s="156"/>
    </row>
    <row r="66" spans="1:49" s="134" customFormat="1">
      <c r="A66" s="171" t="s">
        <v>654</v>
      </c>
      <c r="B66" s="145"/>
      <c r="C66" s="145"/>
      <c r="D66" s="145"/>
      <c r="E66" s="145"/>
      <c r="F66" s="145"/>
      <c r="G66" s="145"/>
      <c r="H66" s="145">
        <f t="array" ref="H66">SUM(IF('2014-2017 Projects'!$C$6:$C$155="9.1 - Office of The Director of Community Services",'2014-2017 Projects'!$AK$6:$AK$155,0))</f>
        <v>200000</v>
      </c>
      <c r="I66" s="145">
        <f t="array" ref="I66">SUM(IF('2014-2017 Projects'!$C$6:$C$155="9.1 - Office of The Director of Community Services",'2014-2017 Projects'!$AL$6:$AL$155,0))</f>
        <v>0</v>
      </c>
      <c r="J66" s="145">
        <f t="array" ref="J66">SUM(IF('2014-2017 Projects'!$C$6:$C$155="9.1 - Office of The Director of Community Services",'2014-2017 Projects'!$AN$6:$AN$155,0))</f>
        <v>0</v>
      </c>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f t="array" ref="AG66">SUM(IF('2014-2017 Projects'!$C$6:$C$155="9.1 - Office of The Director of Community Services",'2014-2017 Projects'!$BW$6:$BW$155,0))</f>
        <v>0</v>
      </c>
      <c r="AH66" s="145">
        <f t="array" ref="AH66">SUM(IF('2014-2017 Projects'!$C$6:$C$155="9.1 - Office of The Director of Community Services",'2014-2017 Projects'!$BX$6:$BX$155,0))</f>
        <v>0</v>
      </c>
      <c r="AI66" s="145">
        <f t="array" ref="AI66">SUM(IF('2014-2017 Projects'!$C$6:$C$155="9.1 - Office of The Director of Community Services",'2014-2017 Projects'!$BV$6:$BV$155,0))</f>
        <v>0</v>
      </c>
      <c r="AJ66" s="145">
        <f t="shared" ref="AJ66" si="47">H66-AG66</f>
        <v>200000</v>
      </c>
      <c r="AK66" s="145">
        <f t="shared" ref="AK66" si="48">H66-AH66</f>
        <v>200000</v>
      </c>
      <c r="AL66" s="453">
        <f t="shared" ref="AL66" si="49">AG66/H66</f>
        <v>0</v>
      </c>
      <c r="AM66" s="453">
        <f t="shared" ref="AM66" si="50">AH66/H66</f>
        <v>0</v>
      </c>
      <c r="AN66" s="158"/>
      <c r="AO66" s="158"/>
      <c r="AP66" s="158"/>
      <c r="AQ66" s="158"/>
      <c r="AR66" s="158"/>
      <c r="AS66" s="316"/>
      <c r="AT66" s="333"/>
      <c r="AU66" s="333"/>
      <c r="AV66" s="333"/>
      <c r="AW66" s="156"/>
    </row>
    <row r="67" spans="1:49" s="134" customFormat="1">
      <c r="A67" s="171" t="s">
        <v>240</v>
      </c>
      <c r="B67" s="145">
        <f t="array" ref="B67">SUM(IF('2014-2017 Projects'!$A$6:$A$177="Corporate Services",'2014-2017 Projects'!$AG$6:$AG$177,0))</f>
        <v>6600000</v>
      </c>
      <c r="C67" s="145">
        <f t="array" ref="C67">SUM(IF('2014-2017 Projects'!$A$6:$A$177="Corporate Services",'2014-2017 Projects'!$AG$6:$AG$177,0))</f>
        <v>6600000</v>
      </c>
      <c r="D67" s="145">
        <f t="array" ref="D67">SUM(IF('2014-2017 Projects'!$A$6:$A$177="Corporate Services",'2014-2017 Projects'!$AG$6:$AG$177,0))</f>
        <v>6600000</v>
      </c>
      <c r="E67" s="145">
        <f t="array" ref="E67">SUM(IF('2014-2017 Projects'!$A$6:$A$177="Corporate Services",'2014-2017 Projects'!$AH$6:$AH$177,0))</f>
        <v>0</v>
      </c>
      <c r="F67" s="145">
        <f t="array" ref="F67">SUM(IF('2014-2017 Projects'!$A$6:$A$177="Corporate Services",'2014-2017 Projects'!$AI$6:$AI$177,0))</f>
        <v>6600000</v>
      </c>
      <c r="G67" s="145"/>
      <c r="H67" s="145">
        <f t="array" ref="H67">SUM(IF('2014-2017 Projects'!$A$6:$A$155="9.16 - Sportsfields",'2014-2017 Projects'!$AK$6:$AK$155,0))</f>
        <v>0</v>
      </c>
      <c r="I67" s="145">
        <f t="array" ref="I67">SUM(IF('2014-2017 Projects'!$C$6:$C$155="9.2 - Cleansing Administration Support",'2014-2017 Projects'!$AL$6:$AL$155,0))</f>
        <v>0</v>
      </c>
      <c r="J67" s="145">
        <f t="array" ref="J67">SUM(IF('2014-2017 Projects'!$C$6:$C$155="9.2 - Cleansing Administration Support",'2014-2017 Projects'!$AN$6:$AN$155,0))</f>
        <v>0</v>
      </c>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f t="array" ref="AG67">SUM(IF('2014-2017 Projects'!$C$6:$C$155="9.2 - Cleansing Administration Support",'2014-2017 Projects'!$BW$6:$BW$155,0))</f>
        <v>0</v>
      </c>
      <c r="AH67" s="145">
        <f t="array" ref="AH67">SUM(IF('2014-2017 Projects'!$C$6:$C$155="9.2 - Cleansing Administration Support",'2014-2017 Projects'!$BX$6:$BX$155,0))</f>
        <v>0</v>
      </c>
      <c r="AI67" s="145">
        <f t="array" ref="AI67">SUM(IF('2014-2017 Projects'!$C$6:$C$155="9.2 - Cleansing Administration Support",'2014-2017 Projects'!$BV$6:$BV$155,0))</f>
        <v>0</v>
      </c>
      <c r="AJ67" s="145">
        <f t="shared" si="11"/>
        <v>0</v>
      </c>
      <c r="AK67" s="145">
        <f t="shared" si="12"/>
        <v>0</v>
      </c>
      <c r="AL67" s="453" t="e">
        <f t="shared" si="13"/>
        <v>#DIV/0!</v>
      </c>
      <c r="AM67" s="453" t="e">
        <f t="shared" si="14"/>
        <v>#DIV/0!</v>
      </c>
      <c r="AN67" s="158"/>
      <c r="AO67" s="158"/>
      <c r="AP67" s="158"/>
      <c r="AQ67" s="158"/>
      <c r="AR67" s="158"/>
      <c r="AS67" s="316"/>
      <c r="AT67" s="333"/>
      <c r="AU67" s="333"/>
      <c r="AV67" s="333"/>
      <c r="AW67" s="156"/>
    </row>
    <row r="68" spans="1:49" s="134" customFormat="1">
      <c r="A68" s="171" t="s">
        <v>641</v>
      </c>
      <c r="B68" s="145">
        <f t="array" ref="B68">SUM(IF('2014-2017 Projects'!$A$6:$A$198="Municipal Manager's Office",'2014-2017 Projects'!$AG$6:$AG$198,0))</f>
        <v>12750000</v>
      </c>
      <c r="C68" s="145">
        <f t="array" ref="C68">SUM(IF('2014-2017 Projects'!$A$6:$A$198="Municipal Manager's Office",'2014-2017 Projects'!$AG$6:$AG$198,0))</f>
        <v>12750000</v>
      </c>
      <c r="D68" s="145">
        <f t="array" ref="D68">SUM(IF('2014-2017 Projects'!$A$6:$A$198="Municipal Manager's Office",'2014-2017 Projects'!$AG$6:$AG$198,0))</f>
        <v>12750000</v>
      </c>
      <c r="E68" s="145">
        <f t="array" ref="E68">SUM(IF('2014-2017 Projects'!$A$6:$A$198="Municipal Manager's Office",'2014-2017 Projects'!$AH$6:$AH$198,0))</f>
        <v>-10000000</v>
      </c>
      <c r="F68" s="145">
        <f t="array" ref="F68">SUM(IF('2014-2017 Projects'!$A$6:$A$198="Municipal Manager's Office",'2014-2017 Projects'!$AI$6:$AI$198,0))</f>
        <v>2750000</v>
      </c>
      <c r="G68" s="145"/>
      <c r="H68" s="145">
        <f t="array" ref="H68">SUM(IF('2014-2017 Projects'!$C$6:$C$155="9.4 - Environmental Services",'2014-2017 Projects'!$AK$6:$AK$155,0))</f>
        <v>2000000</v>
      </c>
      <c r="I68" s="145">
        <f t="array" ref="I68">SUM(IF('2014-2017 Projects'!$C$6:$C$155="9.4 - Environmental Services",'2014-2017 Projects'!$AL$6:$AL$155,0))</f>
        <v>0</v>
      </c>
      <c r="J68" s="145">
        <f t="array" ref="J68">SUM(IF('2014-2017 Projects'!$C$6:$C$155="9.4 - Environmental Services",'2014-2017 Projects'!$AN$6:$AN$155,0))</f>
        <v>0</v>
      </c>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f t="array" ref="AG68">SUM(IF('2014-2017 Projects'!$C$6:$C$155="9.4 - Environmental Services",'2014-2017 Projects'!$BW$6:$BW$155,0))</f>
        <v>0</v>
      </c>
      <c r="AH68" s="145">
        <f t="array" ref="AH68">SUM(IF('2014-2017 Projects'!$C$6:$C$155="9.4 - Environmental Services",'2014-2017 Projects'!$BX$6:$BX$155,0))</f>
        <v>0</v>
      </c>
      <c r="AI68" s="145">
        <f t="array" ref="AI68">SUM(IF('2014-2017 Projects'!$C$6:$C$155="9.4 - Environmental Services",'2014-2017 Projects'!$BV$6:$BV$155,0))</f>
        <v>0</v>
      </c>
      <c r="AJ68" s="145">
        <f t="shared" si="11"/>
        <v>2000000</v>
      </c>
      <c r="AK68" s="145">
        <f t="shared" si="12"/>
        <v>2000000</v>
      </c>
      <c r="AL68" s="453">
        <f t="shared" si="13"/>
        <v>0</v>
      </c>
      <c r="AM68" s="453">
        <f t="shared" si="14"/>
        <v>0</v>
      </c>
      <c r="AN68" s="158"/>
      <c r="AO68" s="158"/>
      <c r="AP68" s="158"/>
      <c r="AQ68" s="158"/>
      <c r="AR68" s="158"/>
      <c r="AS68" s="316"/>
      <c r="AT68" s="333"/>
      <c r="AU68" s="333"/>
      <c r="AV68" s="333"/>
      <c r="AW68" s="156"/>
    </row>
    <row r="69" spans="1:49" s="134" customFormat="1">
      <c r="A69" s="144" t="s">
        <v>241</v>
      </c>
      <c r="B69" s="145">
        <f t="array" ref="B69">SUM(IF('2014-2017 Projects'!$A$6:$A$198="Municipal Manager's Office",'2014-2017 Projects'!$AG$6:$AG$198,0))</f>
        <v>12750000</v>
      </c>
      <c r="C69" s="145">
        <f t="array" ref="C69">SUM(IF('2014-2017 Projects'!$A$6:$A$198="Municipal Manager's Office",'2014-2017 Projects'!$AG$6:$AG$198,0))</f>
        <v>12750000</v>
      </c>
      <c r="D69" s="145">
        <f t="array" ref="D69">SUM(IF('2014-2017 Projects'!$A$6:$A$198="Municipal Manager's Office",'2014-2017 Projects'!$AG$6:$AG$198,0))</f>
        <v>12750000</v>
      </c>
      <c r="E69" s="145">
        <f t="array" ref="E69">SUM(IF('2014-2017 Projects'!$A$6:$A$198="Municipal Manager's Office",'2014-2017 Projects'!$AH$6:$AH$198,0))</f>
        <v>-10000000</v>
      </c>
      <c r="F69" s="145">
        <f t="array" ref="F69">SUM(IF('2014-2017 Projects'!$A$6:$A$198="Municipal Manager's Office",'2014-2017 Projects'!$AI$6:$AI$198,0))</f>
        <v>2750000</v>
      </c>
      <c r="G69" s="145"/>
      <c r="H69" s="145">
        <f t="array" ref="H69">SUM(IF('2014-2017 Projects'!$C$6:$C$155="9.7 - Interments",'2014-2017 Projects'!$AK$6:$AK$155,0))</f>
        <v>10000000</v>
      </c>
      <c r="I69" s="145">
        <f t="array" ref="I69">SUM(IF('2014-2017 Projects'!$C$6:$C$155="9.7 - Interments",'2014-2017 Projects'!$AL$6:$AL$155,0))</f>
        <v>0</v>
      </c>
      <c r="J69" s="145">
        <f t="array" ref="J69">SUM(IF('2014-2017 Projects'!$C$6:$C$155="9.7 - Interments",'2014-2017 Projects'!$AN$6:$AN$155,0))</f>
        <v>0</v>
      </c>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f t="array" ref="AG69">SUM(IF('2014-2017 Projects'!$C$6:$C$155="9.7 - Interments",'2014-2017 Projects'!$BW$6:$BW$155,0))</f>
        <v>0</v>
      </c>
      <c r="AH69" s="145">
        <f t="array" ref="AH69">SUM(IF('2014-2017 Projects'!$C$6:$C$155="9.7 - Interments",'2014-2017 Projects'!$BX$6:$BX$155,0))</f>
        <v>0</v>
      </c>
      <c r="AI69" s="145">
        <f t="array" ref="AI69">SUM(IF('2014-2017 Projects'!$C$6:$C$155="9.7 - Interments",'2014-2017 Projects'!$BV$6:$BV$155,0))</f>
        <v>0</v>
      </c>
      <c r="AJ69" s="145">
        <f>H69-AG69</f>
        <v>10000000</v>
      </c>
      <c r="AK69" s="145">
        <f>H69-AH69</f>
        <v>10000000</v>
      </c>
      <c r="AL69" s="453">
        <f>AG69/H69</f>
        <v>0</v>
      </c>
      <c r="AM69" s="453">
        <f>AH69/H69</f>
        <v>0</v>
      </c>
      <c r="AN69" s="158"/>
      <c r="AO69" s="158"/>
      <c r="AP69" s="158"/>
      <c r="AQ69" s="158"/>
      <c r="AR69" s="158"/>
      <c r="AS69" s="316"/>
      <c r="AT69" s="333"/>
      <c r="AU69" s="333"/>
      <c r="AV69" s="333"/>
      <c r="AW69" s="156"/>
    </row>
    <row r="70" spans="1:49" s="134" customFormat="1">
      <c r="A70" s="171" t="s">
        <v>242</v>
      </c>
      <c r="B70" s="145">
        <f t="array" ref="B70">SUM(IF('2014-2017 Projects'!$A$6:$A$177="Chief Operations Officer",'2014-2017 Projects'!$AG$6:$AG$177,0))</f>
        <v>0</v>
      </c>
      <c r="C70" s="145">
        <f t="array" ref="C70">SUM(IF('2014-2017 Projects'!$A$6:$A$177="Chief Operations Officer",'2014-2017 Projects'!$AG$6:$AG$177,0))</f>
        <v>0</v>
      </c>
      <c r="D70" s="145">
        <f t="array" ref="D70">SUM(IF('2014-2017 Projects'!$A$6:$A$177="Chief Operations Officer",'2014-2017 Projects'!$AG$6:$AG$177,0))</f>
        <v>0</v>
      </c>
      <c r="E70" s="145">
        <f t="array" ref="E70">SUM(IF('2014-2017 Projects'!$A$6:$A$177="Chief Operations Officer",'2014-2017 Projects'!$AH$6:$AH$177,0))</f>
        <v>0</v>
      </c>
      <c r="F70" s="145">
        <f t="array" ref="F70">SUM(IF('2014-2017 Projects'!$A$6:$A$177="Chief Operations Officer",'2014-2017 Projects'!$AI$6:$AI$177,0))</f>
        <v>0</v>
      </c>
      <c r="G70" s="145">
        <f t="array" ref="G70">SUM(IF('2014-2017 Projects'!$A$6:$A$177="Chief Operations Officer",'2014-2017 Projects'!$AG$6:$AG$177,0))</f>
        <v>0</v>
      </c>
      <c r="H70" s="145">
        <f t="array" ref="H70">SUM(IF('2014-2017 Projects'!$C$6:$C$155="9.14 - Halls",'2014-2017 Projects'!$AK$6:$AK$155,0))</f>
        <v>10000000</v>
      </c>
      <c r="I70" s="145">
        <f t="array" ref="I70">SUM(IF('2014-2017 Projects'!$C$6:$C$155="9.14 - Halls",'2014-2017 Projects'!$AL$6:$AL$155,0))</f>
        <v>0</v>
      </c>
      <c r="J70" s="145">
        <f t="array" ref="J70">SUM(IF('2014-2017 Projects'!$C$6:$C$155="9.14 - Halls",'2014-2017 Projects'!$AN$6:$AN$155,0))</f>
        <v>0</v>
      </c>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f t="array" ref="AG70">SUM(IF('2014-2017 Projects'!$C$6:$C$155="9.14 - Halls",'2014-2017 Projects'!$BW$6:$BW$155,0))</f>
        <v>0</v>
      </c>
      <c r="AH70" s="145">
        <f t="array" ref="AH70">SUM(IF('2014-2017 Projects'!$C$6:$C$155="9.14 - Halls",'2014-2017 Projects'!$BX$6:$BX$155,0))</f>
        <v>0</v>
      </c>
      <c r="AI70" s="145">
        <f t="array" ref="AI70">SUM(IF('2014-2017 Projects'!$C$6:$C$155="9.14 - Halls",'2014-2017 Projects'!$BV$6:$BV$155,0))</f>
        <v>9900</v>
      </c>
      <c r="AJ70" s="145">
        <f>H70-AG70</f>
        <v>10000000</v>
      </c>
      <c r="AK70" s="145">
        <f>H70-AH70</f>
        <v>10000000</v>
      </c>
      <c r="AL70" s="453">
        <f>AG70/H70</f>
        <v>0</v>
      </c>
      <c r="AM70" s="453">
        <f>AH70/H70</f>
        <v>0</v>
      </c>
      <c r="AN70" s="158"/>
      <c r="AO70" s="158"/>
      <c r="AP70" s="158"/>
      <c r="AQ70" s="158"/>
      <c r="AR70" s="158"/>
      <c r="AS70" s="316"/>
      <c r="AT70" s="333"/>
      <c r="AU70" s="333"/>
      <c r="AV70" s="333"/>
      <c r="AW70" s="156"/>
    </row>
    <row r="71" spans="1:49" s="134" customFormat="1">
      <c r="A71" s="171" t="s">
        <v>243</v>
      </c>
      <c r="B71" s="145">
        <f t="array" ref="B71">SUM(IF('2014-2017 Projects'!$A$6:$A$177="Financial Services",'2014-2017 Projects'!$AG$6:$AG$177,0))</f>
        <v>0</v>
      </c>
      <c r="C71" s="145">
        <f t="array" ref="C71">SUM(IF('2014-2017 Projects'!$A$6:$A$177="Financial Services",'2014-2017 Projects'!$AG$6:$AG$177,0))</f>
        <v>0</v>
      </c>
      <c r="D71" s="145">
        <f t="array" ref="D71">SUM(IF('2014-2017 Projects'!$A$6:$A$177="Financial Services",'2014-2017 Projects'!$AG$6:$AG$177,0))</f>
        <v>0</v>
      </c>
      <c r="E71" s="145">
        <f t="array" ref="E71">SUM(IF('2014-2017 Projects'!$A$6:$A$177="Financial Services",'2014-2017 Projects'!$AH$6:$AH$177,0))</f>
        <v>0</v>
      </c>
      <c r="F71" s="145">
        <f t="array" ref="F71">SUM(IF('2014-2017 Projects'!$A$6:$A$177="Financial Services",'2014-2017 Projects'!$AI$6:$AI$177,0))</f>
        <v>0</v>
      </c>
      <c r="G71" s="145"/>
      <c r="H71" s="145">
        <f t="array" ref="H71">SUM(IF('2014-2017 Projects'!$C$6:$C$155="9.16 - Sportsfields",'2014-2017 Projects'!$AK$6:$AK$155,0))</f>
        <v>23030409</v>
      </c>
      <c r="I71" s="145">
        <f t="array" ref="I71">SUM(IF('2014-2017 Projects'!$C$6:$C$155="9.16 - Sportsfields",'2014-2017 Projects'!$AL$6:$AL$155,0))</f>
        <v>0</v>
      </c>
      <c r="J71" s="145">
        <f t="array" ref="J71">SUM(IF('2014-2017 Projects'!$C$6:$C$155="9.16 - Sportsfields",'2014-2017 Projects'!$AN$6:$AN$155,0))</f>
        <v>0</v>
      </c>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f t="array" ref="AG71">SUM(IF('2014-2017 Projects'!$C$6:$C$155="9.14 - Halls",'2014-2017 Projects'!$BW$6:$BW$155,0))</f>
        <v>0</v>
      </c>
      <c r="AH71" s="145">
        <f t="array" ref="AH71">SUM(IF('2014-2017 Projects'!$C$6:$C$155="9.16 - Sportsfields",'2014-2017 Projects'!$BX$6:$BX$155,0))</f>
        <v>0</v>
      </c>
      <c r="AI71" s="145">
        <f t="array" ref="AI71">SUM(IF('2014-2017 Projects'!$C$6:$C$155="9.16 - Sportsfields",'2014-2017 Projects'!$BV$6:$BV$155,0))</f>
        <v>746098.5</v>
      </c>
      <c r="AJ71" s="145">
        <f t="shared" ref="AJ71:AJ75" si="51">H71-AG71</f>
        <v>23030409</v>
      </c>
      <c r="AK71" s="145">
        <f t="shared" ref="AK71:AK75" si="52">H71-AH71</f>
        <v>23030409</v>
      </c>
      <c r="AL71" s="453">
        <f t="shared" ref="AL71:AL75" si="53">AG71/H71</f>
        <v>0</v>
      </c>
      <c r="AM71" s="453">
        <f t="shared" ref="AM71:AM75" si="54">AH71/H71</f>
        <v>0</v>
      </c>
      <c r="AN71" s="158"/>
      <c r="AO71" s="158"/>
      <c r="AP71" s="158"/>
      <c r="AQ71" s="158"/>
      <c r="AR71" s="158"/>
      <c r="AS71" s="316"/>
      <c r="AT71" s="333"/>
      <c r="AU71" s="333"/>
      <c r="AV71" s="333"/>
      <c r="AW71" s="156"/>
    </row>
    <row r="72" spans="1:49" s="134" customFormat="1">
      <c r="A72" s="171" t="s">
        <v>658</v>
      </c>
      <c r="B72" s="145"/>
      <c r="C72" s="145"/>
      <c r="D72" s="145"/>
      <c r="E72" s="145"/>
      <c r="F72" s="145"/>
      <c r="G72" s="145"/>
      <c r="H72" s="145">
        <f t="array" ref="H72">SUM(IF('2014-2017 Projects'!$C$6:$C$155="9.17 - Swimming Pools",'2014-2017 Projects'!$AK$6:$AK$155,0))</f>
        <v>2000000</v>
      </c>
      <c r="I72" s="145">
        <f t="array" ref="I72">SUM(IF('2014-2017 Projects'!$C$6:$C$155="9.17 - Swimming Pools",'2014-2017 Projects'!$AL$6:$AL$155,0))</f>
        <v>0</v>
      </c>
      <c r="J72" s="145">
        <f t="array" ref="J72">SUM(IF('2014-2017 Projects'!$C$6:$C$155="9.17 - Swimming Pools",'2014-2017 Projects'!$AN$6:$AN$155,0))</f>
        <v>0</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f t="array" ref="AG72">SUM(IF('2014-2017 Projects'!$C$6:$C$155="9.17 - Swimming Pools",'2014-2017 Projects'!$BW$6:$BW$155,0))</f>
        <v>0</v>
      </c>
      <c r="AH72" s="145">
        <f t="array" ref="AH72">SUM(IF('2014-2017 Projects'!$C$6:$C$155="9.17 - Swimming Pools",'2014-2017 Projects'!$BX$6:$BX$155,0))</f>
        <v>0</v>
      </c>
      <c r="AI72" s="145">
        <f t="array" ref="AI72">SUM(IF('2014-2017 Projects'!$C$6:$C$155="9.17 - Swimming Pools",'2014-2017 Projects'!$BV$6:$BV$155,0))</f>
        <v>0</v>
      </c>
      <c r="AJ72" s="145">
        <f t="shared" ref="AJ72" si="55">H72-AG72</f>
        <v>2000000</v>
      </c>
      <c r="AK72" s="145">
        <f t="shared" ref="AK72" si="56">H72-AH72</f>
        <v>2000000</v>
      </c>
      <c r="AL72" s="453">
        <f t="shared" ref="AL72" si="57">AG72/H72</f>
        <v>0</v>
      </c>
      <c r="AM72" s="453">
        <f t="shared" ref="AM72" si="58">AH72/H72</f>
        <v>0</v>
      </c>
      <c r="AN72" s="158"/>
      <c r="AO72" s="158"/>
      <c r="AP72" s="158"/>
      <c r="AQ72" s="158"/>
      <c r="AR72" s="158"/>
      <c r="AS72" s="316"/>
      <c r="AT72" s="333"/>
      <c r="AU72" s="333"/>
      <c r="AV72" s="333"/>
      <c r="AW72" s="156"/>
    </row>
    <row r="73" spans="1:49" s="134" customFormat="1">
      <c r="A73" s="171" t="s">
        <v>657</v>
      </c>
      <c r="B73" s="145"/>
      <c r="C73" s="145"/>
      <c r="D73" s="145"/>
      <c r="E73" s="145"/>
      <c r="F73" s="145"/>
      <c r="G73" s="145"/>
      <c r="H73" s="145">
        <f t="array" ref="H73">SUM(IF('2014-2017 Projects'!$C$6:$C$155="9.18 - Aquarium",'2014-2017 Projects'!$AK$6:$AK$155,0))</f>
        <v>1000000</v>
      </c>
      <c r="I73" s="145">
        <f t="array" ref="I73">SUM(IF('2014-2017 Projects'!$C$6:$C$155="9.18 - Aquarium",'2014-2017 Projects'!$AL$6:$AL$155,0))</f>
        <v>0</v>
      </c>
      <c r="J73" s="145">
        <f t="array" ref="J73">SUM(IF('2014-2017 Projects'!$C$6:$C$155="9.18 - Aquarium",'2014-2017 Projects'!$AN$6:$AN$155,0))</f>
        <v>0</v>
      </c>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f t="array" ref="AG73">SUM(IF('2014-2017 Projects'!$C$6:$C$155="9.18 - Aquarium",'2014-2017 Projects'!$BW$6:$BW$155,0))</f>
        <v>0</v>
      </c>
      <c r="AH73" s="145">
        <f t="array" ref="AH73">SUM(IF('2014-2017 Projects'!$C$6:$C$155="9.18 - Aquarium",'2014-2017 Projects'!$BX$6:$BX$155,0))</f>
        <v>0</v>
      </c>
      <c r="AI73" s="145">
        <f t="array" ref="AI73">SUM(IF('2014-2017 Projects'!$C$6:$C$155="9.18 - Aquarium",'2014-2017 Projects'!$BV$6:$BV$155,0))</f>
        <v>0</v>
      </c>
      <c r="AJ73" s="145">
        <f t="shared" ref="AJ73" si="59">H73-AG73</f>
        <v>1000000</v>
      </c>
      <c r="AK73" s="145">
        <f t="shared" ref="AK73" si="60">H73-AH73</f>
        <v>1000000</v>
      </c>
      <c r="AL73" s="453">
        <f t="shared" ref="AL73" si="61">AG73/H73</f>
        <v>0</v>
      </c>
      <c r="AM73" s="453">
        <f t="shared" ref="AM73" si="62">AH73/H73</f>
        <v>0</v>
      </c>
      <c r="AN73" s="158"/>
      <c r="AO73" s="158"/>
      <c r="AP73" s="158"/>
      <c r="AQ73" s="158"/>
      <c r="AR73" s="158"/>
      <c r="AS73" s="316"/>
      <c r="AT73" s="333"/>
      <c r="AU73" s="333"/>
      <c r="AV73" s="333"/>
      <c r="AW73" s="156"/>
    </row>
    <row r="74" spans="1:49" s="134" customFormat="1">
      <c r="A74" s="171" t="s">
        <v>656</v>
      </c>
      <c r="B74" s="145"/>
      <c r="C74" s="145"/>
      <c r="D74" s="145"/>
      <c r="E74" s="145"/>
      <c r="F74" s="145"/>
      <c r="G74" s="145"/>
      <c r="H74" s="145">
        <f t="array" ref="H74">SUM(IF('2014-2017 Projects'!$C$6:$C$155="9.19 - Zoo",'2014-2017 Projects'!$AK$6:$AK$155,0))</f>
        <v>1000000</v>
      </c>
      <c r="I74" s="145">
        <f t="array" ref="I74">SUM(IF('2014-2017 Projects'!$C$6:$C$155="9.19 - Zoo",'2014-2017 Projects'!$AL$6:$AL$155,0))</f>
        <v>0</v>
      </c>
      <c r="J74" s="145">
        <f t="array" ref="J74">SUM(IF('2014-2017 Projects'!$C$6:$C$155="9.19 - Zoo",'2014-2017 Projects'!$AN$6:$AN$155,0))</f>
        <v>0</v>
      </c>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f t="array" ref="AG74">SUM(IF('2014-2017 Projects'!$C$6:$C$155="9.19 - Zoo",'2014-2017 Projects'!$BW$6:$BW$155,0))</f>
        <v>0</v>
      </c>
      <c r="AH74" s="145">
        <f t="array" ref="AH74">SUM(IF('2014-2017 Projects'!$C$6:$C$155="9.19 - Zoo",'2014-2017 Projects'!$BX$6:$BX$155,0))</f>
        <v>0</v>
      </c>
      <c r="AI74" s="145">
        <f t="array" ref="AI74">SUM(IF('2014-2017 Projects'!$C$6:$C$155="9.19 - Zoo",'2014-2017 Projects'!$BV$6:$BV$155,0))</f>
        <v>0</v>
      </c>
      <c r="AJ74" s="145">
        <f t="shared" ref="AJ74" si="63">H74-AG74</f>
        <v>1000000</v>
      </c>
      <c r="AK74" s="145">
        <f t="shared" ref="AK74" si="64">H74-AH74</f>
        <v>1000000</v>
      </c>
      <c r="AL74" s="453">
        <f t="shared" ref="AL74" si="65">AG74/H74</f>
        <v>0</v>
      </c>
      <c r="AM74" s="453">
        <f t="shared" ref="AM74" si="66">AH74/H74</f>
        <v>0</v>
      </c>
      <c r="AN74" s="158"/>
      <c r="AO74" s="158"/>
      <c r="AP74" s="158"/>
      <c r="AQ74" s="158"/>
      <c r="AR74" s="158"/>
      <c r="AS74" s="316"/>
      <c r="AT74" s="333"/>
      <c r="AU74" s="333"/>
      <c r="AV74" s="333"/>
      <c r="AW74" s="156"/>
    </row>
    <row r="75" spans="1:49" s="134" customFormat="1">
      <c r="A75" s="171" t="s">
        <v>655</v>
      </c>
      <c r="B75" s="145"/>
      <c r="C75" s="145"/>
      <c r="D75" s="145"/>
      <c r="E75" s="145"/>
      <c r="F75" s="145"/>
      <c r="G75" s="145"/>
      <c r="H75" s="145">
        <f t="array" ref="H75">SUM(IF('2014-2017 Projects'!$C$6:$C$155="9.20 - Beaches",'2014-2017 Projects'!$AK$6:$AK$155,0))</f>
        <v>1000000</v>
      </c>
      <c r="I75" s="145">
        <f t="array" ref="I75">SUM(IF('2014-2017 Projects'!$C$6:$C$155="9.20 - Beaches",'2014-2017 Projects'!$AL$6:$AL$155,0))</f>
        <v>0</v>
      </c>
      <c r="J75" s="145">
        <f t="array" ref="J75">SUM(IF('2014-2017 Projects'!$C$6:$C$155="9.20 - Beaches",'2014-2017 Projects'!$AN$6:$AN$155,0))</f>
        <v>0</v>
      </c>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f t="array" ref="AG75">SUM(IF('2014-2017 Projects'!$C$6:$C$155="9.20 - Beaches",'2014-2017 Projects'!$BW$6:$BW$155,0))</f>
        <v>0</v>
      </c>
      <c r="AH75" s="145">
        <f t="array" ref="AH75">SUM(IF('2014-2017 Projects'!$C$6:$C$155="9.20 - Beaches",'2014-2017 Projects'!$BX$6:$BX$155,0))</f>
        <v>0</v>
      </c>
      <c r="AI75" s="145">
        <f t="array" ref="AI75">SUM(IF('2014-2017 Projects'!$C$6:$C$155="9.20 - Beaches",'2014-2017 Projects'!$BV$6:$BV$155,0))</f>
        <v>0</v>
      </c>
      <c r="AJ75" s="145">
        <f t="shared" si="51"/>
        <v>1000000</v>
      </c>
      <c r="AK75" s="145">
        <f t="shared" si="52"/>
        <v>1000000</v>
      </c>
      <c r="AL75" s="453">
        <f t="shared" si="53"/>
        <v>0</v>
      </c>
      <c r="AM75" s="453">
        <f t="shared" si="54"/>
        <v>0</v>
      </c>
      <c r="AN75" s="158"/>
      <c r="AO75" s="158"/>
      <c r="AP75" s="158"/>
      <c r="AQ75" s="158"/>
      <c r="AR75" s="158"/>
      <c r="AS75" s="316"/>
      <c r="AT75" s="333"/>
      <c r="AU75" s="333"/>
      <c r="AV75" s="333"/>
      <c r="AW75" s="156"/>
    </row>
    <row r="76" spans="1:49" s="134" customFormat="1">
      <c r="A76" s="171" t="s">
        <v>642</v>
      </c>
      <c r="B76" s="145">
        <f t="array" ref="B76">SUM(IF('2014-2017 Projects'!$A$6:$A$177="Chief Operations Officer",'2014-2017 Projects'!$AG$6:$AG$177,0))</f>
        <v>0</v>
      </c>
      <c r="C76" s="145">
        <f t="array" ref="C76">SUM(IF('2014-2017 Projects'!$A$6:$A$177="Chief Operations Officer",'2014-2017 Projects'!$AG$6:$AG$177,0))</f>
        <v>0</v>
      </c>
      <c r="D76" s="145">
        <f t="array" ref="D76">SUM(IF('2014-2017 Projects'!$A$6:$A$177="Chief Operations Officer",'2014-2017 Projects'!$AG$6:$AG$177,0))</f>
        <v>0</v>
      </c>
      <c r="E76" s="145">
        <f t="array" ref="E76">SUM(IF('2014-2017 Projects'!$A$6:$A$177="Chief Operations Officer",'2014-2017 Projects'!$AH$6:$AH$177,0))</f>
        <v>0</v>
      </c>
      <c r="F76" s="145">
        <f t="array" ref="F76">SUM(IF('2014-2017 Projects'!$A$6:$A$177="Chief Operations Officer",'2014-2017 Projects'!$AI$6:$AI$177,0))</f>
        <v>0</v>
      </c>
      <c r="G76" s="145">
        <f t="array" ref="G76">SUM(IF('2014-2017 Projects'!$A$6:$A$177="Chief Operations Officer",'2014-2017 Projects'!$AG$6:$AG$177,0))</f>
        <v>0</v>
      </c>
      <c r="H76" s="145">
        <f t="array" ref="H76">SUM(IF('2014-2017 Projects'!$C$6:$C$155="9.22 - Cleansing Administration Support",'2014-2017 Projects'!$AK$6:$AK$155,0))</f>
        <v>300000</v>
      </c>
      <c r="I76" s="145">
        <f t="array" ref="I76">SUM(IF('2014-2017 Projects'!$C$6:$C$155="9.22 - Cleansing Administration Support",'2014-2017 Projects'!$AL$6:$AL$155,0))</f>
        <v>0</v>
      </c>
      <c r="J76" s="145">
        <f t="array" ref="J76">SUM(IF('2014-2017 Projects'!$C$6:$C$155="9.22 - Cleansing Administration Support",'2014-2017 Projects'!$AN$6:$AN$155,0))</f>
        <v>0</v>
      </c>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f t="array" ref="AG76">SUM(IF('2014-2017 Projects'!$C$6:$C$155="9.22 - Cleansing Administration Support",'2014-2017 Projects'!$BW$6:$BW$155,0))</f>
        <v>0</v>
      </c>
      <c r="AH76" s="145">
        <f t="array" ref="AH76">SUM(IF('2014-2017 Projects'!$C$6:$C$155="9.22 - Cleansing Administration Support",'2014-2017 Projects'!$BX$6:$BX$155,0))</f>
        <v>0</v>
      </c>
      <c r="AI76" s="145">
        <f t="array" ref="AI76">SUM(IF('2014-2017 Projects'!$C$6:$C$155="9.22 - Cleansing Administration Support",'2014-2017 Projects'!$BV$6:$BV$155,0))</f>
        <v>0</v>
      </c>
      <c r="AJ76" s="145">
        <f t="shared" si="11"/>
        <v>300000</v>
      </c>
      <c r="AK76" s="145">
        <f t="shared" si="12"/>
        <v>300000</v>
      </c>
      <c r="AL76" s="453">
        <f t="shared" si="13"/>
        <v>0</v>
      </c>
      <c r="AM76" s="453">
        <f t="shared" si="14"/>
        <v>0</v>
      </c>
      <c r="AN76" s="158"/>
      <c r="AO76" s="158"/>
      <c r="AP76" s="158"/>
      <c r="AQ76" s="158"/>
      <c r="AR76" s="158"/>
      <c r="AS76" s="316"/>
      <c r="AT76" s="333"/>
      <c r="AU76" s="333"/>
      <c r="AV76" s="333"/>
      <c r="AW76" s="156"/>
    </row>
    <row r="77" spans="1:49" s="134" customFormat="1">
      <c r="A77" s="171" t="s">
        <v>643</v>
      </c>
      <c r="B77" s="145">
        <f t="array" ref="B77">SUM(IF('2014-2017 Projects'!$A$6:$A$177="Financial Services",'2014-2017 Projects'!$AG$6:$AG$177,0))</f>
        <v>0</v>
      </c>
      <c r="C77" s="145">
        <f t="array" ref="C77">SUM(IF('2014-2017 Projects'!$A$6:$A$177="Financial Services",'2014-2017 Projects'!$AG$6:$AG$177,0))</f>
        <v>0</v>
      </c>
      <c r="D77" s="145">
        <f t="array" ref="D77">SUM(IF('2014-2017 Projects'!$A$6:$A$177="Financial Services",'2014-2017 Projects'!$AG$6:$AG$177,0))</f>
        <v>0</v>
      </c>
      <c r="E77" s="145">
        <f t="array" ref="E77">SUM(IF('2014-2017 Projects'!$A$6:$A$177="Financial Services",'2014-2017 Projects'!$AH$6:$AH$177,0))</f>
        <v>0</v>
      </c>
      <c r="F77" s="145">
        <f t="array" ref="F77">SUM(IF('2014-2017 Projects'!$A$6:$A$177="Financial Services",'2014-2017 Projects'!$AI$6:$AI$177,0))</f>
        <v>0</v>
      </c>
      <c r="G77" s="145"/>
      <c r="H77" s="145">
        <f t="array" ref="H77">SUM(IF('2014-2017 Projects'!$C$6:$C$155="9.23 - Refuse Removal",'2014-2017 Projects'!$AK$6:$AK$155,0))</f>
        <v>0</v>
      </c>
      <c r="I77" s="145">
        <f t="array" ref="I77">SUM(IF('2014-2017 Projects'!$C$6:$C$155="9.23 - Refuse Removal",'2014-2017 Projects'!$AL$6:$AL$155,0))</f>
        <v>0</v>
      </c>
      <c r="J77" s="145">
        <f t="array" ref="J77">SUM(IF('2014-2017 Projects'!$C$6:$C$155="9.23 - Refuse Removal",'2014-2017 Projects'!$AN$6:$AN$155,0))</f>
        <v>0</v>
      </c>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f t="array" ref="AG77">SUM(IF('2014-2017 Projects'!$C$6:$C$155="9.23 - Refuse Removal",'2014-2017 Projects'!$BW$6:$BW$155,0))</f>
        <v>0</v>
      </c>
      <c r="AH77" s="145">
        <f t="array" ref="AH77">SUM(IF('2014-2017 Projects'!$C$6:$C$155="9.23 - Refuse Removal",'2014-2017 Projects'!$BX$6:$BX$155,0))</f>
        <v>0</v>
      </c>
      <c r="AI77" s="145">
        <f t="array" ref="AI77">SUM(IF('2014-2017 Projects'!$C$6:$C$155="9.23 - Refuse Removal",'2014-2017 Projects'!$BV$6:$BV$155,0))</f>
        <v>0</v>
      </c>
      <c r="AJ77" s="145">
        <f t="shared" si="11"/>
        <v>0</v>
      </c>
      <c r="AK77" s="145">
        <f t="shared" si="12"/>
        <v>0</v>
      </c>
      <c r="AL77" s="453" t="e">
        <f t="shared" si="13"/>
        <v>#DIV/0!</v>
      </c>
      <c r="AM77" s="453" t="e">
        <f t="shared" si="14"/>
        <v>#DIV/0!</v>
      </c>
      <c r="AN77" s="158"/>
      <c r="AO77" s="158"/>
      <c r="AP77" s="158"/>
      <c r="AQ77" s="158"/>
      <c r="AR77" s="158"/>
      <c r="AS77" s="316"/>
      <c r="AT77" s="333"/>
      <c r="AU77" s="333"/>
      <c r="AV77" s="333"/>
      <c r="AW77" s="156"/>
    </row>
    <row r="78" spans="1:49" s="134" customFormat="1">
      <c r="A78" s="171" t="s">
        <v>244</v>
      </c>
      <c r="B78" s="145">
        <f t="array" ref="B78">SUM(IF('2014-2017 Projects'!$A$6:$A$177="Corporate Services",'2014-2017 Projects'!$AG$6:$AG$177,0))</f>
        <v>6600000</v>
      </c>
      <c r="C78" s="145">
        <f t="array" ref="C78">SUM(IF('2014-2017 Projects'!$A$6:$A$177="Corporate Services",'2014-2017 Projects'!$AG$6:$AG$177,0))</f>
        <v>6600000</v>
      </c>
      <c r="D78" s="145">
        <f t="array" ref="D78">SUM(IF('2014-2017 Projects'!$A$6:$A$177="Corporate Services",'2014-2017 Projects'!$AG$6:$AG$177,0))</f>
        <v>6600000</v>
      </c>
      <c r="E78" s="145">
        <f t="array" ref="E78">SUM(IF('2014-2017 Projects'!$A$6:$A$177="Corporate Services",'2014-2017 Projects'!$AH$6:$AH$177,0))</f>
        <v>0</v>
      </c>
      <c r="F78" s="145">
        <f t="array" ref="F78">SUM(IF('2014-2017 Projects'!$A$6:$A$177="Corporate Services",'2014-2017 Projects'!$AI$6:$AI$177,0))</f>
        <v>6600000</v>
      </c>
      <c r="G78" s="145"/>
      <c r="H78" s="145">
        <f t="array" ref="H78">SUM(IF('2014-2017 Projects'!$C$6:$C$155="9.27 - E.L Regional Waste Disposal Site &amp; Transfer Station",'2014-2017 Projects'!$AK$6:$AK$155,0))</f>
        <v>36000000</v>
      </c>
      <c r="I78" s="145">
        <f t="array" ref="I78">SUM(IF('2014-2017 Projects'!$C$6:$C$155="9.27 - E.L Regional Waste Disposal Site &amp; Transfer Station",'2014-2017 Projects'!$AL$6:$AL$155,0))</f>
        <v>0</v>
      </c>
      <c r="J78" s="145">
        <f t="array" ref="J78">SUM(IF('2014-2017 Projects'!$C$6:$C$155="9.27 - E.L Regional Waste Disposal Site &amp; Transfer Station",'2014-2017 Projects'!$AN$6:$AN$155,0))</f>
        <v>0</v>
      </c>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f t="array" ref="AG78">SUM(IF('2014-2017 Projects'!$C$6:$C$155="9.27 - E.L Regional Waste Disposal Site &amp; Transfer Station",'2014-2017 Projects'!$BW$6:$BW$155,0))</f>
        <v>0</v>
      </c>
      <c r="AH78" s="145">
        <f t="array" ref="AH78">SUM(IF('2014-2017 Projects'!$C$6:$C$155="9.27 - E.L Regional Waste Disposal Site &amp; Transfer Station",'2014-2017 Projects'!$BX$6:$BX$155,0))</f>
        <v>0</v>
      </c>
      <c r="AI78" s="145">
        <f t="array" ref="AI78">SUM(IF('2014-2017 Projects'!$C$6:$C$155="9.27 - E.L Regional Waste Disposal Site &amp; Transfer Station",'2014-2017 Projects'!$BV$6:$BV$155,0))</f>
        <v>645222.42000000004</v>
      </c>
      <c r="AJ78" s="145">
        <f t="shared" si="11"/>
        <v>36000000</v>
      </c>
      <c r="AK78" s="145">
        <f t="shared" si="12"/>
        <v>36000000</v>
      </c>
      <c r="AL78" s="453">
        <f t="shared" si="13"/>
        <v>0</v>
      </c>
      <c r="AM78" s="453">
        <f t="shared" si="14"/>
        <v>0</v>
      </c>
      <c r="AN78" s="158"/>
      <c r="AO78" s="158"/>
      <c r="AP78" s="158"/>
      <c r="AQ78" s="158"/>
      <c r="AR78" s="158"/>
      <c r="AS78" s="316"/>
      <c r="AT78" s="333"/>
      <c r="AU78" s="333"/>
      <c r="AV78" s="333"/>
      <c r="AW78" s="156"/>
    </row>
    <row r="79" spans="1:49" s="134" customFormat="1">
      <c r="A79" s="464"/>
      <c r="B79" s="145">
        <f t="array" ref="B79">SUM(IF('2014-2017 Projects'!$A$6:$A$177="Chief Operations Officer",'2014-2017 Projects'!$AG$6:$AG$177,0))</f>
        <v>0</v>
      </c>
      <c r="C79" s="145">
        <f t="array" ref="C79">SUM(IF('2014-2017 Projects'!$A$6:$A$177="Chief Operations Officer",'2014-2017 Projects'!$AG$6:$AG$177,0))</f>
        <v>0</v>
      </c>
      <c r="D79" s="145">
        <f t="array" ref="D79">SUM(IF('2014-2017 Projects'!$A$6:$A$177="Chief Operations Officer",'2014-2017 Projects'!$AG$6:$AG$177,0))</f>
        <v>0</v>
      </c>
      <c r="E79" s="145">
        <f t="array" ref="E79">SUM(IF('2014-2017 Projects'!$A$6:$A$177="Chief Operations Officer",'2014-2017 Projects'!$AH$6:$AH$177,0))</f>
        <v>0</v>
      </c>
      <c r="F79" s="145">
        <f t="array" ref="F79">SUM(IF('2014-2017 Projects'!$A$6:$A$177="Chief Operations Officer",'2014-2017 Projects'!$AI$6:$AI$177,0))</f>
        <v>0</v>
      </c>
      <c r="G79" s="145">
        <f t="array" ref="G79">SUM(IF('2014-2017 Projects'!$A$6:$A$177="Chief Operations Officer",'2014-2017 Projects'!$AG$6:$AG$177,0))</f>
        <v>0</v>
      </c>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453"/>
      <c r="AM79" s="453"/>
      <c r="AN79" s="158"/>
      <c r="AO79" s="158"/>
      <c r="AP79" s="158"/>
      <c r="AQ79" s="158"/>
      <c r="AR79" s="158"/>
      <c r="AS79" s="316"/>
      <c r="AT79" s="333"/>
      <c r="AU79" s="333"/>
      <c r="AV79" s="333"/>
      <c r="AW79" s="156"/>
    </row>
    <row r="80" spans="1:49" s="134" customFormat="1">
      <c r="A80" s="171"/>
      <c r="B80" s="145">
        <f t="array" ref="B80">SUM(IF('2014-2017 Projects'!$A$6:$A$177="Financial Services",'2014-2017 Projects'!$AG$6:$AG$177,0))</f>
        <v>0</v>
      </c>
      <c r="C80" s="145">
        <f t="array" ref="C80">SUM(IF('2014-2017 Projects'!$A$6:$A$177="Financial Services",'2014-2017 Projects'!$AG$6:$AG$177,0))</f>
        <v>0</v>
      </c>
      <c r="D80" s="145">
        <f t="array" ref="D80">SUM(IF('2014-2017 Projects'!$A$6:$A$177="Financial Services",'2014-2017 Projects'!$AG$6:$AG$177,0))</f>
        <v>0</v>
      </c>
      <c r="E80" s="145">
        <f t="array" ref="E80">SUM(IF('2014-2017 Projects'!$A$6:$A$177="Financial Services",'2014-2017 Projects'!$AH$6:$AH$177,0))</f>
        <v>0</v>
      </c>
      <c r="F80" s="145">
        <f t="array" ref="F80">SUM(IF('2014-2017 Projects'!$A$6:$A$177="Financial Services",'2014-2017 Projects'!$AI$6:$AI$177,0))</f>
        <v>0</v>
      </c>
      <c r="G80" s="145"/>
      <c r="H80" s="145">
        <f t="shared" ref="H80:AK80" si="67">SUM(H20:H78)</f>
        <v>942007423</v>
      </c>
      <c r="I80" s="145">
        <f t="shared" si="67"/>
        <v>4279296.1500000004</v>
      </c>
      <c r="J80" s="145">
        <f t="shared" si="67"/>
        <v>4583715.4000000004</v>
      </c>
      <c r="K80" s="145">
        <f t="shared" si="67"/>
        <v>0</v>
      </c>
      <c r="L80" s="145">
        <f t="shared" si="67"/>
        <v>0</v>
      </c>
      <c r="M80" s="145">
        <f t="shared" si="67"/>
        <v>0</v>
      </c>
      <c r="N80" s="145">
        <f t="shared" si="67"/>
        <v>0</v>
      </c>
      <c r="O80" s="145">
        <f t="shared" si="67"/>
        <v>0</v>
      </c>
      <c r="P80" s="145">
        <f t="shared" si="67"/>
        <v>0</v>
      </c>
      <c r="Q80" s="145">
        <f t="shared" si="67"/>
        <v>0</v>
      </c>
      <c r="R80" s="145">
        <f t="shared" si="67"/>
        <v>0</v>
      </c>
      <c r="S80" s="145">
        <f t="shared" si="67"/>
        <v>0</v>
      </c>
      <c r="T80" s="145">
        <f t="shared" si="67"/>
        <v>0</v>
      </c>
      <c r="U80" s="145">
        <f t="shared" si="67"/>
        <v>0</v>
      </c>
      <c r="V80" s="145">
        <f t="shared" si="67"/>
        <v>0</v>
      </c>
      <c r="W80" s="145">
        <f t="shared" si="67"/>
        <v>0</v>
      </c>
      <c r="X80" s="145">
        <f t="shared" si="67"/>
        <v>0</v>
      </c>
      <c r="Y80" s="145">
        <f t="shared" si="67"/>
        <v>0</v>
      </c>
      <c r="Z80" s="145">
        <f t="shared" si="67"/>
        <v>0</v>
      </c>
      <c r="AA80" s="145">
        <f t="shared" si="67"/>
        <v>0</v>
      </c>
      <c r="AB80" s="145">
        <f t="shared" si="67"/>
        <v>0</v>
      </c>
      <c r="AC80" s="145">
        <f t="shared" si="67"/>
        <v>0</v>
      </c>
      <c r="AD80" s="145">
        <f t="shared" si="67"/>
        <v>0</v>
      </c>
      <c r="AE80" s="145">
        <f t="shared" si="67"/>
        <v>0</v>
      </c>
      <c r="AF80" s="145">
        <f t="shared" si="67"/>
        <v>0</v>
      </c>
      <c r="AG80" s="145">
        <f t="shared" si="67"/>
        <v>4279296.1500000004</v>
      </c>
      <c r="AH80" s="145">
        <f t="shared" si="67"/>
        <v>4583715.4000000004</v>
      </c>
      <c r="AI80" s="145">
        <f t="shared" si="67"/>
        <v>5180679.37</v>
      </c>
      <c r="AJ80" s="145">
        <f t="shared" si="67"/>
        <v>937728126.85000002</v>
      </c>
      <c r="AK80" s="145">
        <f t="shared" si="67"/>
        <v>937423707.60000002</v>
      </c>
      <c r="AL80" s="453">
        <f>AG80/H80</f>
        <v>4.5427414323039794E-3</v>
      </c>
      <c r="AM80" s="453">
        <f>AH80/H80</f>
        <v>4.8659015715633068E-3</v>
      </c>
      <c r="AN80" s="158"/>
      <c r="AO80" s="158"/>
      <c r="AP80" s="158"/>
      <c r="AQ80" s="158"/>
      <c r="AR80" s="158"/>
      <c r="AS80" s="316"/>
      <c r="AT80" s="333"/>
      <c r="AU80" s="333"/>
      <c r="AV80" s="333"/>
      <c r="AW80" s="156"/>
    </row>
    <row r="81" spans="1:49" s="134" customFormat="1">
      <c r="A81" s="157"/>
      <c r="B81" s="158"/>
      <c r="C81" s="158"/>
      <c r="D81" s="158"/>
      <c r="E81" s="158"/>
      <c r="F81" s="286"/>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456"/>
      <c r="AM81" s="456"/>
      <c r="AN81" s="158"/>
      <c r="AO81" s="158"/>
      <c r="AP81" s="158"/>
      <c r="AQ81" s="158"/>
      <c r="AR81" s="158"/>
      <c r="AS81" s="316"/>
      <c r="AT81" s="333"/>
      <c r="AU81" s="333"/>
      <c r="AV81" s="333"/>
      <c r="AW81" s="156"/>
    </row>
    <row r="82" spans="1:49" s="134" customFormat="1">
      <c r="A82" s="157"/>
      <c r="B82" s="158"/>
      <c r="C82" s="158"/>
      <c r="D82" s="158"/>
      <c r="E82" s="158"/>
      <c r="F82" s="286"/>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456"/>
      <c r="AM82" s="456"/>
      <c r="AN82" s="158"/>
      <c r="AO82" s="158"/>
      <c r="AP82" s="158"/>
      <c r="AQ82" s="158"/>
      <c r="AR82" s="158"/>
      <c r="AS82" s="316"/>
      <c r="AT82" s="333"/>
      <c r="AU82" s="333"/>
      <c r="AV82" s="333"/>
      <c r="AW82" s="156"/>
    </row>
    <row r="83" spans="1:49" s="134" customFormat="1">
      <c r="A83" s="157"/>
      <c r="B83" s="158"/>
      <c r="C83" s="158"/>
      <c r="D83" s="158"/>
      <c r="E83" s="158"/>
      <c r="F83" s="286"/>
      <c r="G83" s="158"/>
      <c r="H83" s="158">
        <v>942007423</v>
      </c>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456"/>
      <c r="AM83" s="456"/>
      <c r="AN83" s="158"/>
      <c r="AO83" s="158"/>
      <c r="AP83" s="158"/>
      <c r="AQ83" s="158"/>
      <c r="AR83" s="158"/>
      <c r="AS83" s="316"/>
      <c r="AT83" s="333"/>
      <c r="AU83" s="333"/>
      <c r="AV83" s="333"/>
      <c r="AW83" s="156"/>
    </row>
    <row r="84" spans="1:49" s="134" customFormat="1">
      <c r="A84" s="157"/>
      <c r="B84" s="158"/>
      <c r="C84" s="158"/>
      <c r="D84" s="158"/>
      <c r="E84" s="158"/>
      <c r="F84" s="286"/>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456"/>
      <c r="AM84" s="456"/>
      <c r="AN84" s="158"/>
      <c r="AO84" s="158"/>
      <c r="AP84" s="158"/>
      <c r="AQ84" s="158"/>
      <c r="AR84" s="158"/>
      <c r="AS84" s="316"/>
      <c r="AT84" s="333"/>
      <c r="AU84" s="333"/>
      <c r="AV84" s="333"/>
      <c r="AW84" s="156"/>
    </row>
    <row r="85" spans="1:49" s="134" customFormat="1">
      <c r="A85" s="157"/>
      <c r="B85" s="158"/>
      <c r="C85" s="158"/>
      <c r="D85" s="158"/>
      <c r="E85" s="158"/>
      <c r="F85" s="286"/>
      <c r="G85" s="158"/>
      <c r="H85" s="332">
        <f>H83-H80</f>
        <v>0</v>
      </c>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456"/>
      <c r="AM85" s="456"/>
      <c r="AN85" s="158"/>
      <c r="AO85" s="158"/>
      <c r="AP85" s="158"/>
      <c r="AQ85" s="158"/>
      <c r="AR85" s="158"/>
      <c r="AS85" s="316"/>
      <c r="AT85" s="333"/>
      <c r="AU85" s="333"/>
      <c r="AV85" s="333"/>
      <c r="AW85" s="156"/>
    </row>
    <row r="86" spans="1:49" s="134" customFormat="1" ht="72">
      <c r="A86" s="465" t="s">
        <v>660</v>
      </c>
      <c r="B86" s="139" t="s">
        <v>298</v>
      </c>
      <c r="C86" s="139" t="s">
        <v>299</v>
      </c>
      <c r="D86" s="139" t="s">
        <v>300</v>
      </c>
      <c r="E86" s="139" t="s">
        <v>291</v>
      </c>
      <c r="F86" s="139" t="s">
        <v>292</v>
      </c>
      <c r="G86" s="141" t="s">
        <v>301</v>
      </c>
      <c r="H86" s="141" t="s">
        <v>616</v>
      </c>
      <c r="I86" s="452" t="s">
        <v>589</v>
      </c>
      <c r="J86" s="452" t="s">
        <v>590</v>
      </c>
      <c r="K86" s="452" t="s">
        <v>592</v>
      </c>
      <c r="L86" s="452" t="s">
        <v>593</v>
      </c>
      <c r="M86" s="452" t="s">
        <v>594</v>
      </c>
      <c r="N86" s="452" t="s">
        <v>595</v>
      </c>
      <c r="O86" s="452" t="s">
        <v>596</v>
      </c>
      <c r="P86" s="452" t="s">
        <v>597</v>
      </c>
      <c r="Q86" s="452" t="s">
        <v>598</v>
      </c>
      <c r="R86" s="452" t="s">
        <v>599</v>
      </c>
      <c r="S86" s="452" t="s">
        <v>600</v>
      </c>
      <c r="T86" s="452" t="s">
        <v>601</v>
      </c>
      <c r="U86" s="452" t="s">
        <v>603</v>
      </c>
      <c r="V86" s="452" t="s">
        <v>604</v>
      </c>
      <c r="W86" s="452" t="s">
        <v>605</v>
      </c>
      <c r="X86" s="452" t="s">
        <v>606</v>
      </c>
      <c r="Y86" s="452" t="s">
        <v>607</v>
      </c>
      <c r="Z86" s="452" t="s">
        <v>608</v>
      </c>
      <c r="AA86" s="452" t="s">
        <v>610</v>
      </c>
      <c r="AB86" s="452" t="s">
        <v>609</v>
      </c>
      <c r="AC86" s="452" t="s">
        <v>611</v>
      </c>
      <c r="AD86" s="452" t="s">
        <v>612</v>
      </c>
      <c r="AE86" s="452" t="s">
        <v>613</v>
      </c>
      <c r="AF86" s="452" t="s">
        <v>614</v>
      </c>
      <c r="AG86" s="452" t="s">
        <v>203</v>
      </c>
      <c r="AH86" s="452" t="s">
        <v>618</v>
      </c>
      <c r="AI86" s="452" t="s">
        <v>220</v>
      </c>
      <c r="AJ86" s="452" t="s">
        <v>619</v>
      </c>
      <c r="AK86" s="452" t="s">
        <v>620</v>
      </c>
      <c r="AL86" s="452" t="s">
        <v>621</v>
      </c>
      <c r="AM86" s="452" t="s">
        <v>622</v>
      </c>
      <c r="AN86" s="158"/>
      <c r="AO86" s="158"/>
      <c r="AP86" s="158"/>
      <c r="AQ86" s="158"/>
      <c r="AR86" s="158"/>
      <c r="AS86" s="316"/>
      <c r="AT86" s="333"/>
      <c r="AU86" s="333"/>
      <c r="AV86" s="333"/>
      <c r="AW86" s="156"/>
    </row>
    <row r="87" spans="1:49">
      <c r="A87" s="172"/>
      <c r="B87" s="309"/>
      <c r="C87" s="309"/>
      <c r="D87" s="309"/>
      <c r="E87" s="309"/>
      <c r="F87" s="309"/>
      <c r="G87" s="173"/>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row>
    <row r="88" spans="1:49" ht="13.5">
      <c r="A88" s="175" t="s">
        <v>320</v>
      </c>
      <c r="B88" s="176"/>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row>
    <row r="89" spans="1:49" s="482" customFormat="1" ht="13.5">
      <c r="A89" s="178" t="s">
        <v>321</v>
      </c>
      <c r="B89" s="179" t="e">
        <f>SUM(B90:B92)</f>
        <v>#REF!</v>
      </c>
      <c r="C89" s="179" t="e">
        <f>SUM(C90:C92)</f>
        <v>#REF!</v>
      </c>
      <c r="D89" s="179" t="e">
        <f>SUM(D90:D92)</f>
        <v>#REF!</v>
      </c>
      <c r="E89" s="179" t="e">
        <f>SUM(E90:E92)</f>
        <v>#REF!</v>
      </c>
      <c r="F89" s="179" t="e">
        <f>SUM(F90:F92)</f>
        <v>#REF!</v>
      </c>
      <c r="G89" s="179"/>
      <c r="H89" s="481">
        <f>SUM(H90:H92)</f>
        <v>34950000</v>
      </c>
      <c r="I89" s="481">
        <f t="shared" ref="I89:AI89" si="68">SUM(I90:I92)</f>
        <v>19074.32</v>
      </c>
      <c r="J89" s="481">
        <f t="shared" si="68"/>
        <v>19074.32</v>
      </c>
      <c r="K89" s="481">
        <f t="shared" si="68"/>
        <v>34950000</v>
      </c>
      <c r="L89" s="481">
        <f t="shared" si="68"/>
        <v>34950000</v>
      </c>
      <c r="M89" s="481">
        <f t="shared" si="68"/>
        <v>34950000</v>
      </c>
      <c r="N89" s="481">
        <f t="shared" si="68"/>
        <v>34950000</v>
      </c>
      <c r="O89" s="481">
        <f t="shared" si="68"/>
        <v>34950000</v>
      </c>
      <c r="P89" s="481">
        <f t="shared" si="68"/>
        <v>34950000</v>
      </c>
      <c r="Q89" s="481">
        <f t="shared" si="68"/>
        <v>34950000</v>
      </c>
      <c r="R89" s="481">
        <f t="shared" si="68"/>
        <v>34950000</v>
      </c>
      <c r="S89" s="481">
        <f t="shared" si="68"/>
        <v>34950000</v>
      </c>
      <c r="T89" s="481">
        <f t="shared" si="68"/>
        <v>34950000</v>
      </c>
      <c r="U89" s="481">
        <f t="shared" si="68"/>
        <v>34950000</v>
      </c>
      <c r="V89" s="481">
        <f t="shared" si="68"/>
        <v>34950000</v>
      </c>
      <c r="W89" s="481">
        <f t="shared" si="68"/>
        <v>34950000</v>
      </c>
      <c r="X89" s="481">
        <f t="shared" si="68"/>
        <v>34950000</v>
      </c>
      <c r="Y89" s="481">
        <f t="shared" si="68"/>
        <v>34950000</v>
      </c>
      <c r="Z89" s="481">
        <f t="shared" si="68"/>
        <v>34950000</v>
      </c>
      <c r="AA89" s="481">
        <f t="shared" si="68"/>
        <v>34950000</v>
      </c>
      <c r="AB89" s="481">
        <f t="shared" si="68"/>
        <v>34950000</v>
      </c>
      <c r="AC89" s="481">
        <f t="shared" si="68"/>
        <v>34950000</v>
      </c>
      <c r="AD89" s="481">
        <f t="shared" si="68"/>
        <v>34950000</v>
      </c>
      <c r="AE89" s="481">
        <f t="shared" si="68"/>
        <v>34950000</v>
      </c>
      <c r="AF89" s="481">
        <f t="shared" si="68"/>
        <v>34950000</v>
      </c>
      <c r="AG89" s="481">
        <f t="shared" si="68"/>
        <v>19074.32</v>
      </c>
      <c r="AH89" s="481">
        <f t="shared" si="68"/>
        <v>19074.32</v>
      </c>
      <c r="AI89" s="481">
        <f t="shared" si="68"/>
        <v>0</v>
      </c>
      <c r="AJ89" s="481">
        <f t="shared" ref="AJ89:AJ108" si="69">H89-AG89</f>
        <v>34930925.68</v>
      </c>
      <c r="AK89" s="481">
        <f t="shared" ref="AK89:AK108" si="70">H89-AH89</f>
        <v>34930925.68</v>
      </c>
      <c r="AL89" s="467">
        <f t="shared" ref="AL89:AL108" si="71">AG89/H89</f>
        <v>5.4576022889842632E-4</v>
      </c>
      <c r="AM89" s="467">
        <f t="shared" ref="AM89:AM108" si="72">AH89/H89</f>
        <v>5.4576022889842632E-4</v>
      </c>
      <c r="AN89" s="179">
        <f>SUM(AN90:AN92)</f>
        <v>53478000</v>
      </c>
      <c r="AO89" s="179">
        <f>SUM(AO90:AO92)</f>
        <v>50944000</v>
      </c>
      <c r="AP89" s="142"/>
      <c r="AR89" s="483"/>
      <c r="AS89" s="483"/>
      <c r="AT89" s="484"/>
      <c r="AU89" s="484"/>
      <c r="AV89" s="484"/>
    </row>
    <row r="90" spans="1:49" ht="13.5">
      <c r="A90" s="180" t="s">
        <v>29</v>
      </c>
      <c r="B90" s="181" t="e">
        <f t="array" ref="B90">SUM(IF('[5]2013-2016 Projects'!$D$4:$D$202="Executive and council",'[5]2013-2016 Projects'!$V$4:$V$202,0))</f>
        <v>#REF!</v>
      </c>
      <c r="C90" s="181" t="e">
        <f t="array" ref="C90">SUM(IF('[5]2013-2016 Projects'!$D$4:$D$202="Executive and council",'[5]2013-2016 Projects'!$V$4:$V$202,0))</f>
        <v>#REF!</v>
      </c>
      <c r="D90" s="181" t="e">
        <f t="array" ref="D90">SUM(IF('[5]2013-2016 Projects'!$D$4:$D$202="Executive and council",'[5]2013-2016 Projects'!$V$4:$V$202,0))</f>
        <v>#REF!</v>
      </c>
      <c r="E90" s="181" t="e">
        <f t="array" ref="E90">SUM(IF('[5]2013-2016 Projects'!$D$4:$D$202="Executive and council",'[5]2013-2016 Projects'!$V$4:$V$202,0))</f>
        <v>#REF!</v>
      </c>
      <c r="F90" s="181" t="e">
        <f t="array" ref="F90">SUM(IF('[5]2013-2016 Projects'!$D$4:$D$202="Executive and council",'[5]2013-2016 Projects'!$V$4:$V$202,0))</f>
        <v>#REF!</v>
      </c>
      <c r="G90" s="181"/>
      <c r="H90" s="145">
        <f t="array" ref="H90">SUM(IF('2014-2017 Projects'!$I$5:$I$156="Executive and council",'2014-2017 Projects'!$AK$5:$AK$156,0))</f>
        <v>7500000</v>
      </c>
      <c r="I90" s="145">
        <f t="array" ref="I90">SUM(IF('2014-2017 Projects'!$I$5:$I$156="Executive and council",'2014-2017 Projects'!$AL$5:$AL$156,0))</f>
        <v>0</v>
      </c>
      <c r="J90" s="145">
        <f t="array" ref="J90">SUM(IF('2014-2017 Projects'!$I$5:$I$156="Executive and council",'2014-2017 Projects'!$AN$5:$AN$156,0))</f>
        <v>0</v>
      </c>
      <c r="K90" s="145">
        <f t="array" ref="K90">SUM(IF('2014-2017 Projects'!$I$5:$I$156="Executive and council",'2014-2017 Projects'!$AK$5:$AK$156,0))</f>
        <v>7500000</v>
      </c>
      <c r="L90" s="145">
        <f t="array" ref="L90">SUM(IF('2014-2017 Projects'!$I$5:$I$156="Executive and council",'2014-2017 Projects'!$AK$5:$AK$156,0))</f>
        <v>7500000</v>
      </c>
      <c r="M90" s="145">
        <f t="array" ref="M90">SUM(IF('2014-2017 Projects'!$I$5:$I$156="Executive and council",'2014-2017 Projects'!$AK$5:$AK$156,0))</f>
        <v>7500000</v>
      </c>
      <c r="N90" s="145">
        <f t="array" ref="N90">SUM(IF('2014-2017 Projects'!$I$5:$I$156="Executive and council",'2014-2017 Projects'!$AK$5:$AK$156,0))</f>
        <v>7500000</v>
      </c>
      <c r="O90" s="145">
        <f t="array" ref="O90">SUM(IF('2014-2017 Projects'!$I$5:$I$156="Executive and council",'2014-2017 Projects'!$AK$5:$AK$156,0))</f>
        <v>7500000</v>
      </c>
      <c r="P90" s="145">
        <f t="array" ref="P90">SUM(IF('2014-2017 Projects'!$I$5:$I$156="Executive and council",'2014-2017 Projects'!$AK$5:$AK$156,0))</f>
        <v>7500000</v>
      </c>
      <c r="Q90" s="145">
        <f t="array" ref="Q90">SUM(IF('2014-2017 Projects'!$I$5:$I$156="Executive and council",'2014-2017 Projects'!$AK$5:$AK$156,0))</f>
        <v>7500000</v>
      </c>
      <c r="R90" s="145">
        <f t="array" ref="R90">SUM(IF('2014-2017 Projects'!$I$5:$I$156="Executive and council",'2014-2017 Projects'!$AK$5:$AK$156,0))</f>
        <v>7500000</v>
      </c>
      <c r="S90" s="145">
        <f t="array" ref="S90">SUM(IF('2014-2017 Projects'!$I$5:$I$156="Executive and council",'2014-2017 Projects'!$AK$5:$AK$156,0))</f>
        <v>7500000</v>
      </c>
      <c r="T90" s="145">
        <f t="array" ref="T90">SUM(IF('2014-2017 Projects'!$I$5:$I$156="Executive and council",'2014-2017 Projects'!$AK$5:$AK$156,0))</f>
        <v>7500000</v>
      </c>
      <c r="U90" s="145">
        <f t="array" ref="U90">SUM(IF('2014-2017 Projects'!$I$5:$I$156="Executive and council",'2014-2017 Projects'!$AK$5:$AK$156,0))</f>
        <v>7500000</v>
      </c>
      <c r="V90" s="145">
        <f t="array" ref="V90">SUM(IF('2014-2017 Projects'!$I$5:$I$156="Executive and council",'2014-2017 Projects'!$AK$5:$AK$156,0))</f>
        <v>7500000</v>
      </c>
      <c r="W90" s="145">
        <f t="array" ref="W90">SUM(IF('2014-2017 Projects'!$I$5:$I$156="Executive and council",'2014-2017 Projects'!$AK$5:$AK$156,0))</f>
        <v>7500000</v>
      </c>
      <c r="X90" s="145">
        <f t="array" ref="X90">SUM(IF('2014-2017 Projects'!$I$5:$I$156="Executive and council",'2014-2017 Projects'!$AK$5:$AK$156,0))</f>
        <v>7500000</v>
      </c>
      <c r="Y90" s="145">
        <f t="array" ref="Y90">SUM(IF('2014-2017 Projects'!$I$5:$I$156="Executive and council",'2014-2017 Projects'!$AK$5:$AK$156,0))</f>
        <v>7500000</v>
      </c>
      <c r="Z90" s="145">
        <f t="array" ref="Z90">SUM(IF('2014-2017 Projects'!$I$5:$I$156="Executive and council",'2014-2017 Projects'!$AK$5:$AK$156,0))</f>
        <v>7500000</v>
      </c>
      <c r="AA90" s="145">
        <f t="array" ref="AA90">SUM(IF('2014-2017 Projects'!$I$5:$I$156="Executive and council",'2014-2017 Projects'!$AK$5:$AK$156,0))</f>
        <v>7500000</v>
      </c>
      <c r="AB90" s="145">
        <f t="array" ref="AB90">SUM(IF('2014-2017 Projects'!$I$5:$I$156="Executive and council",'2014-2017 Projects'!$AK$5:$AK$156,0))</f>
        <v>7500000</v>
      </c>
      <c r="AC90" s="145">
        <f t="array" ref="AC90">SUM(IF('2014-2017 Projects'!$I$5:$I$156="Executive and council",'2014-2017 Projects'!$AK$5:$AK$156,0))</f>
        <v>7500000</v>
      </c>
      <c r="AD90" s="145">
        <f t="array" ref="AD90">SUM(IF('2014-2017 Projects'!$I$5:$I$156="Executive and council",'2014-2017 Projects'!$AK$5:$AK$156,0))</f>
        <v>7500000</v>
      </c>
      <c r="AE90" s="145">
        <f t="array" ref="AE90">SUM(IF('2014-2017 Projects'!$I$5:$I$156="Executive and council",'2014-2017 Projects'!$AK$5:$AK$156,0))</f>
        <v>7500000</v>
      </c>
      <c r="AF90" s="145">
        <f t="array" ref="AF90">SUM(IF('2014-2017 Projects'!$I$5:$I$156="Executive and council",'2014-2017 Projects'!$AK$5:$AK$156,0))</f>
        <v>7500000</v>
      </c>
      <c r="AG90" s="145">
        <f t="array" ref="AG90">SUM(IF('2014-2017 Projects'!$I$5:$I$156="Executive and council",'2014-2017 Projects'!$BW$5:$BW$156,0))</f>
        <v>0</v>
      </c>
      <c r="AH90" s="145">
        <f t="array" ref="AH90">SUM(IF('2014-2017 Projects'!$I$5:$I$156="Executive and council",'2014-2017 Projects'!$BX$5:$BX$156,0))</f>
        <v>0</v>
      </c>
      <c r="AI90" s="145">
        <f t="array" ref="AI90">SUM(IF('2014-2017 Projects'!$I$5:$I$156="Executive and council",'2014-2017 Projects'!$BV$5:$BV$156,0))</f>
        <v>0</v>
      </c>
      <c r="AJ90" s="145">
        <f t="shared" si="69"/>
        <v>7500000</v>
      </c>
      <c r="AK90" s="145">
        <f t="shared" si="70"/>
        <v>7500000</v>
      </c>
      <c r="AL90" s="468">
        <f t="shared" si="71"/>
        <v>0</v>
      </c>
      <c r="AM90" s="468">
        <f t="shared" si="72"/>
        <v>0</v>
      </c>
      <c r="AN90" s="181">
        <f t="array" ref="AN90">SUM(IF('2014-2017 Projects'!$I$5:$I$156="Executive and council",'2014-2017 Projects'!$CE$5:$CE$156,0))</f>
        <v>19378000</v>
      </c>
      <c r="AO90" s="181">
        <f t="array" ref="AO90">SUM(IF('2014-2017 Projects'!$I$5:$I$84="Executive and council",'2014-2017 Projects'!$CF$5:$CF$84,0))</f>
        <v>20244000</v>
      </c>
    </row>
    <row r="91" spans="1:49" ht="13.5">
      <c r="A91" s="180" t="s">
        <v>322</v>
      </c>
      <c r="B91" s="181" t="e">
        <f t="array" ref="B91">SUM(IF('[5]2013-2016 Projects'!$D$4:$D$202="Budget and treasury office",'[5]2013-2016 Projects'!$V$4:$V$202,0))</f>
        <v>#REF!</v>
      </c>
      <c r="C91" s="181" t="e">
        <f t="array" ref="C91">SUM(IF('[5]2013-2016 Projects'!$D$4:$D$202="Budget and treasury office",'[5]2013-2016 Projects'!$V$4:$V$202,0))</f>
        <v>#REF!</v>
      </c>
      <c r="D91" s="181" t="e">
        <f t="array" ref="D91">SUM(IF('[5]2013-2016 Projects'!$D$4:$D$202="Budget and treasury office",'[5]2013-2016 Projects'!$V$4:$V$202,0))</f>
        <v>#REF!</v>
      </c>
      <c r="E91" s="181" t="e">
        <f t="array" ref="E91">SUM(IF('[5]2013-2016 Projects'!$D$4:$D$202="Budget and treasury office",'[5]2013-2016 Projects'!$V$4:$V$202,0))</f>
        <v>#REF!</v>
      </c>
      <c r="F91" s="181" t="e">
        <f t="array" ref="F91">SUM(IF('[5]2013-2016 Projects'!$D$4:$D$202="Budget and treasury office",'[5]2013-2016 Projects'!$V$4:$V$202,0))</f>
        <v>#REF!</v>
      </c>
      <c r="G91" s="181"/>
      <c r="H91" s="145">
        <f t="array" ref="H91">SUM(IF('2014-2017 Projects'!$I$5:$I$156="Budget and treasury",'2014-2017 Projects'!$AK$5:$AK$156,0))</f>
        <v>12350000</v>
      </c>
      <c r="I91" s="145">
        <f t="array" ref="I91">SUM(IF('2014-2017 Projects'!$I$5:$I$156="Budget and treasury",'2014-2017 Projects'!$AL$5:$AL$156,0))</f>
        <v>19074.32</v>
      </c>
      <c r="J91" s="145">
        <f t="array" ref="J91">SUM(IF('2014-2017 Projects'!$I$5:$I$156="Budget and treasury",'2014-2017 Projects'!$AN$5:$AN$156,0))</f>
        <v>19074.32</v>
      </c>
      <c r="K91" s="145">
        <f t="array" ref="K91">SUM(IF('2014-2017 Projects'!$I$5:$I$156="Budget and treasury",'2014-2017 Projects'!$AK$5:$AK$156,0))</f>
        <v>12350000</v>
      </c>
      <c r="L91" s="145">
        <f t="array" ref="L91">SUM(IF('2014-2017 Projects'!$I$5:$I$156="Budget and treasury",'2014-2017 Projects'!$AK$5:$AK$156,0))</f>
        <v>12350000</v>
      </c>
      <c r="M91" s="145">
        <f t="array" ref="M91">SUM(IF('2014-2017 Projects'!$I$5:$I$156="Budget and treasury",'2014-2017 Projects'!$AK$5:$AK$156,0))</f>
        <v>12350000</v>
      </c>
      <c r="N91" s="145">
        <f t="array" ref="N91">SUM(IF('2014-2017 Projects'!$I$5:$I$156="Budget and treasury",'2014-2017 Projects'!$AK$5:$AK$156,0))</f>
        <v>12350000</v>
      </c>
      <c r="O91" s="145">
        <f t="array" ref="O91">SUM(IF('2014-2017 Projects'!$I$5:$I$156="Budget and treasury",'2014-2017 Projects'!$AK$5:$AK$156,0))</f>
        <v>12350000</v>
      </c>
      <c r="P91" s="145">
        <f t="array" ref="P91">SUM(IF('2014-2017 Projects'!$I$5:$I$156="Budget and treasury",'2014-2017 Projects'!$AK$5:$AK$156,0))</f>
        <v>12350000</v>
      </c>
      <c r="Q91" s="145">
        <f t="array" ref="Q91">SUM(IF('2014-2017 Projects'!$I$5:$I$156="Budget and treasury",'2014-2017 Projects'!$AK$5:$AK$156,0))</f>
        <v>12350000</v>
      </c>
      <c r="R91" s="145">
        <f t="array" ref="R91">SUM(IF('2014-2017 Projects'!$I$5:$I$156="Budget and treasury",'2014-2017 Projects'!$AK$5:$AK$156,0))</f>
        <v>12350000</v>
      </c>
      <c r="S91" s="145">
        <f t="array" ref="S91">SUM(IF('2014-2017 Projects'!$I$5:$I$156="Budget and treasury",'2014-2017 Projects'!$AK$5:$AK$156,0))</f>
        <v>12350000</v>
      </c>
      <c r="T91" s="145">
        <f t="array" ref="T91">SUM(IF('2014-2017 Projects'!$I$5:$I$156="Budget and treasury",'2014-2017 Projects'!$AK$5:$AK$156,0))</f>
        <v>12350000</v>
      </c>
      <c r="U91" s="145">
        <f t="array" ref="U91">SUM(IF('2014-2017 Projects'!$I$5:$I$156="Budget and treasury",'2014-2017 Projects'!$AK$5:$AK$156,0))</f>
        <v>12350000</v>
      </c>
      <c r="V91" s="145">
        <f t="array" ref="V91">SUM(IF('2014-2017 Projects'!$I$5:$I$156="Budget and treasury",'2014-2017 Projects'!$AK$5:$AK$156,0))</f>
        <v>12350000</v>
      </c>
      <c r="W91" s="145">
        <f t="array" ref="W91">SUM(IF('2014-2017 Projects'!$I$5:$I$156="Budget and treasury",'2014-2017 Projects'!$AK$5:$AK$156,0))</f>
        <v>12350000</v>
      </c>
      <c r="X91" s="145">
        <f t="array" ref="X91">SUM(IF('2014-2017 Projects'!$I$5:$I$156="Budget and treasury",'2014-2017 Projects'!$AK$5:$AK$156,0))</f>
        <v>12350000</v>
      </c>
      <c r="Y91" s="145">
        <f t="array" ref="Y91">SUM(IF('2014-2017 Projects'!$I$5:$I$156="Budget and treasury",'2014-2017 Projects'!$AK$5:$AK$156,0))</f>
        <v>12350000</v>
      </c>
      <c r="Z91" s="145">
        <f t="array" ref="Z91">SUM(IF('2014-2017 Projects'!$I$5:$I$156="Budget and treasury",'2014-2017 Projects'!$AK$5:$AK$156,0))</f>
        <v>12350000</v>
      </c>
      <c r="AA91" s="145">
        <f t="array" ref="AA91">SUM(IF('2014-2017 Projects'!$I$5:$I$156="Budget and treasury",'2014-2017 Projects'!$AK$5:$AK$156,0))</f>
        <v>12350000</v>
      </c>
      <c r="AB91" s="145">
        <f t="array" ref="AB91">SUM(IF('2014-2017 Projects'!$I$5:$I$156="Budget and treasury",'2014-2017 Projects'!$AK$5:$AK$156,0))</f>
        <v>12350000</v>
      </c>
      <c r="AC91" s="145">
        <f t="array" ref="AC91">SUM(IF('2014-2017 Projects'!$I$5:$I$156="Budget and treasury",'2014-2017 Projects'!$AK$5:$AK$156,0))</f>
        <v>12350000</v>
      </c>
      <c r="AD91" s="145">
        <f t="array" ref="AD91">SUM(IF('2014-2017 Projects'!$I$5:$I$156="Budget and treasury",'2014-2017 Projects'!$AK$5:$AK$156,0))</f>
        <v>12350000</v>
      </c>
      <c r="AE91" s="145">
        <f t="array" ref="AE91">SUM(IF('2014-2017 Projects'!$I$5:$I$156="Budget and treasury",'2014-2017 Projects'!$AK$5:$AK$156,0))</f>
        <v>12350000</v>
      </c>
      <c r="AF91" s="145">
        <f t="array" ref="AF91">SUM(IF('2014-2017 Projects'!$I$5:$I$156="Budget and treasury",'2014-2017 Projects'!$AK$5:$AK$156,0))</f>
        <v>12350000</v>
      </c>
      <c r="AG91" s="145">
        <f t="array" ref="AG91">SUM(IF('2014-2017 Projects'!$I$5:$I$156="Budget and treasury",'2014-2017 Projects'!$BW$5:$BW$156,0))</f>
        <v>19074.32</v>
      </c>
      <c r="AH91" s="145">
        <f t="array" ref="AH91">SUM(IF('2014-2017 Projects'!$I$5:$I$156="Budget and treasury",'2014-2017 Projects'!$BX$5:$BX$156,0))</f>
        <v>19074.32</v>
      </c>
      <c r="AI91" s="145">
        <f t="array" ref="AI91">SUM(IF('2014-2017 Projects'!$I$5:$I$156="Budget and treasury",'2014-2017 Projects'!$BV$5:$BV$156,0))</f>
        <v>0</v>
      </c>
      <c r="AJ91" s="145">
        <f t="shared" si="69"/>
        <v>12330925.68</v>
      </c>
      <c r="AK91" s="145">
        <f t="shared" si="70"/>
        <v>12330925.68</v>
      </c>
      <c r="AL91" s="468">
        <f t="shared" si="71"/>
        <v>1.5444793522267205E-3</v>
      </c>
      <c r="AM91" s="468">
        <f t="shared" si="72"/>
        <v>1.5444793522267205E-3</v>
      </c>
      <c r="AN91" s="181">
        <f t="array" ref="AN91">SUM(IF('2014-2017 Projects'!$I$5:$I$156="Budget and treasury",'2014-2017 Projects'!$CE$5:$CE$156,0))</f>
        <v>12000000</v>
      </c>
      <c r="AO91" s="181">
        <f t="array" ref="AO91">SUM(IF('2014-2017 Projects'!$I$5:$I$156="Budget and treasury",'2014-2017 Projects'!$CF$5:$CF$156,0))</f>
        <v>10500000</v>
      </c>
    </row>
    <row r="92" spans="1:49" ht="13.5">
      <c r="A92" s="180" t="s">
        <v>30</v>
      </c>
      <c r="B92" s="181" t="e">
        <f t="array" ref="B92">SUM(IF('[5]2013-2016 Projects'!$D$4:$D$202="Corporate services",'[5]2013-2016 Projects'!$V$4:$V$202,0))</f>
        <v>#REF!</v>
      </c>
      <c r="C92" s="181" t="e">
        <f t="array" ref="C92">SUM(IF('[5]2013-2016 Projects'!$D$4:$D$202="Corporate services",'[5]2013-2016 Projects'!$V$4:$V$202,0))</f>
        <v>#REF!</v>
      </c>
      <c r="D92" s="181" t="e">
        <f t="array" ref="D92">SUM(IF('[5]2013-2016 Projects'!$D$4:$D$202="Corporate services",'[5]2013-2016 Projects'!$V$4:$V$202,0))</f>
        <v>#REF!</v>
      </c>
      <c r="E92" s="181" t="e">
        <f t="array" ref="E92">SUM(IF('[5]2013-2016 Projects'!$D$4:$D$202="Corporate services",'[5]2013-2016 Projects'!$V$4:$V$202,0))</f>
        <v>#REF!</v>
      </c>
      <c r="F92" s="181" t="e">
        <f t="array" ref="F92">SUM(IF('[5]2013-2016 Projects'!$D$4:$D$202="Corporate services",'[5]2013-2016 Projects'!$V$4:$V$202,0))</f>
        <v>#REF!</v>
      </c>
      <c r="G92" s="181"/>
      <c r="H92" s="145">
        <f t="array" ref="H92">SUM(IF('2014-2017 Projects'!$I$5:$I$156="Corporate Services",'2014-2017 Projects'!$AK$5:$AK$156,0))</f>
        <v>15100000</v>
      </c>
      <c r="I92" s="145">
        <f t="array" ref="I92">SUM(IF('2014-2017 Projects'!$I$5:$I$156="Corporate Services",'2014-2017 Projects'!$AL$5:$AL$156,0))</f>
        <v>0</v>
      </c>
      <c r="J92" s="145">
        <f t="array" ref="J92">SUM(IF('2014-2017 Projects'!$I$5:$I$156="Corporate Services",'2014-2017 Projects'!$AN$5:$AN$156,0))</f>
        <v>0</v>
      </c>
      <c r="K92" s="145">
        <f t="array" ref="K92">SUM(IF('2014-2017 Projects'!$I$5:$I$156="Corporate Services",'2014-2017 Projects'!$AK$5:$AK$156,0))</f>
        <v>15100000</v>
      </c>
      <c r="L92" s="145">
        <f t="array" ref="L92">SUM(IF('2014-2017 Projects'!$I$5:$I$156="Corporate Services",'2014-2017 Projects'!$AK$5:$AK$156,0))</f>
        <v>15100000</v>
      </c>
      <c r="M92" s="145">
        <f t="array" ref="M92">SUM(IF('2014-2017 Projects'!$I$5:$I$156="Corporate Services",'2014-2017 Projects'!$AK$5:$AK$156,0))</f>
        <v>15100000</v>
      </c>
      <c r="N92" s="145">
        <f t="array" ref="N92">SUM(IF('2014-2017 Projects'!$I$5:$I$156="Corporate Services",'2014-2017 Projects'!$AK$5:$AK$156,0))</f>
        <v>15100000</v>
      </c>
      <c r="O92" s="145">
        <f t="array" ref="O92">SUM(IF('2014-2017 Projects'!$I$5:$I$156="Corporate Services",'2014-2017 Projects'!$AK$5:$AK$156,0))</f>
        <v>15100000</v>
      </c>
      <c r="P92" s="145">
        <f t="array" ref="P92">SUM(IF('2014-2017 Projects'!$I$5:$I$156="Corporate Services",'2014-2017 Projects'!$AK$5:$AK$156,0))</f>
        <v>15100000</v>
      </c>
      <c r="Q92" s="145">
        <f t="array" ref="Q92">SUM(IF('2014-2017 Projects'!$I$5:$I$156="Corporate Services",'2014-2017 Projects'!$AK$5:$AK$156,0))</f>
        <v>15100000</v>
      </c>
      <c r="R92" s="145">
        <f t="array" ref="R92">SUM(IF('2014-2017 Projects'!$I$5:$I$156="Corporate Services",'2014-2017 Projects'!$AK$5:$AK$156,0))</f>
        <v>15100000</v>
      </c>
      <c r="S92" s="145">
        <f t="array" ref="S92">SUM(IF('2014-2017 Projects'!$I$5:$I$156="Corporate Services",'2014-2017 Projects'!$AK$5:$AK$156,0))</f>
        <v>15100000</v>
      </c>
      <c r="T92" s="145">
        <f t="array" ref="T92">SUM(IF('2014-2017 Projects'!$I$5:$I$156="Corporate Services",'2014-2017 Projects'!$AK$5:$AK$156,0))</f>
        <v>15100000</v>
      </c>
      <c r="U92" s="145">
        <f t="array" ref="U92">SUM(IF('2014-2017 Projects'!$I$5:$I$156="Corporate Services",'2014-2017 Projects'!$AK$5:$AK$156,0))</f>
        <v>15100000</v>
      </c>
      <c r="V92" s="145">
        <f t="array" ref="V92">SUM(IF('2014-2017 Projects'!$I$5:$I$156="Corporate Services",'2014-2017 Projects'!$AK$5:$AK$156,0))</f>
        <v>15100000</v>
      </c>
      <c r="W92" s="145">
        <f t="array" ref="W92">SUM(IF('2014-2017 Projects'!$I$5:$I$156="Corporate Services",'2014-2017 Projects'!$AK$5:$AK$156,0))</f>
        <v>15100000</v>
      </c>
      <c r="X92" s="145">
        <f t="array" ref="X92">SUM(IF('2014-2017 Projects'!$I$5:$I$156="Corporate Services",'2014-2017 Projects'!$AK$5:$AK$156,0))</f>
        <v>15100000</v>
      </c>
      <c r="Y92" s="145">
        <f t="array" ref="Y92">SUM(IF('2014-2017 Projects'!$I$5:$I$156="Corporate Services",'2014-2017 Projects'!$AK$5:$AK$156,0))</f>
        <v>15100000</v>
      </c>
      <c r="Z92" s="145">
        <f t="array" ref="Z92">SUM(IF('2014-2017 Projects'!$I$5:$I$156="Corporate Services",'2014-2017 Projects'!$AK$5:$AK$156,0))</f>
        <v>15100000</v>
      </c>
      <c r="AA92" s="145">
        <f t="array" ref="AA92">SUM(IF('2014-2017 Projects'!$I$5:$I$156="Corporate Services",'2014-2017 Projects'!$AK$5:$AK$156,0))</f>
        <v>15100000</v>
      </c>
      <c r="AB92" s="145">
        <f t="array" ref="AB92">SUM(IF('2014-2017 Projects'!$I$5:$I$156="Corporate Services",'2014-2017 Projects'!$AK$5:$AK$156,0))</f>
        <v>15100000</v>
      </c>
      <c r="AC92" s="145">
        <f t="array" ref="AC92">SUM(IF('2014-2017 Projects'!$I$5:$I$156="Corporate Services",'2014-2017 Projects'!$AK$5:$AK$156,0))</f>
        <v>15100000</v>
      </c>
      <c r="AD92" s="145">
        <f t="array" ref="AD92">SUM(IF('2014-2017 Projects'!$I$5:$I$156="Corporate Services",'2014-2017 Projects'!$AK$5:$AK$156,0))</f>
        <v>15100000</v>
      </c>
      <c r="AE92" s="145">
        <f t="array" ref="AE92">SUM(IF('2014-2017 Projects'!$I$5:$I$156="Corporate Services",'2014-2017 Projects'!$AK$5:$AK$156,0))</f>
        <v>15100000</v>
      </c>
      <c r="AF92" s="145">
        <f t="array" ref="AF92">SUM(IF('2014-2017 Projects'!$I$5:$I$156="Corporate Services",'2014-2017 Projects'!$AK$5:$AK$156,0))</f>
        <v>15100000</v>
      </c>
      <c r="AG92" s="145">
        <f t="array" ref="AG92">SUM(IF('2014-2017 Projects'!$I$5:$I$156="Corporate Services",'2014-2017 Projects'!$BW$5:$BW$156,0))</f>
        <v>0</v>
      </c>
      <c r="AH92" s="145">
        <f t="array" ref="AH92">SUM(IF('2014-2017 Projects'!$I$5:$I$156="Corporate Services",'2014-2017 Projects'!$BX$5:$BX$156,0))</f>
        <v>0</v>
      </c>
      <c r="AI92" s="145">
        <f t="array" ref="AI92">SUM(IF('2014-2017 Projects'!$I$5:$I$156="Corporate Services",'2014-2017 Projects'!$BV$5:$BV$156,0))</f>
        <v>0</v>
      </c>
      <c r="AJ92" s="145">
        <f t="shared" si="69"/>
        <v>15100000</v>
      </c>
      <c r="AK92" s="145">
        <f t="shared" si="70"/>
        <v>15100000</v>
      </c>
      <c r="AL92" s="468">
        <f t="shared" si="71"/>
        <v>0</v>
      </c>
      <c r="AM92" s="468">
        <f t="shared" si="72"/>
        <v>0</v>
      </c>
      <c r="AN92" s="181">
        <f t="array" ref="AN92">SUM(IF('2014-2017 Projects'!$I$5:$I$156="Corporate Services",'2014-2017 Projects'!$CE$5:$CE$156,0))</f>
        <v>22100000</v>
      </c>
      <c r="AO92" s="181">
        <f t="array" ref="AO92">SUM(IF('2014-2017 Projects'!$I$5:$I$156="Corporate Services",'2014-2017 Projects'!$CF$5:$CF$156,0))</f>
        <v>20200000</v>
      </c>
    </row>
    <row r="93" spans="1:49" s="482" customFormat="1" ht="13.5">
      <c r="A93" s="178" t="s">
        <v>323</v>
      </c>
      <c r="B93" s="179" t="e">
        <f>SUM(B94:B98)</f>
        <v>#REF!</v>
      </c>
      <c r="C93" s="179" t="e">
        <f>SUM(C94:C98)</f>
        <v>#REF!</v>
      </c>
      <c r="D93" s="179" t="e">
        <f>SUM(D94:D98)</f>
        <v>#REF!</v>
      </c>
      <c r="E93" s="179" t="e">
        <f>SUM(E94:E98)</f>
        <v>#REF!</v>
      </c>
      <c r="F93" s="179" t="e">
        <f>SUM(F94:F98)</f>
        <v>#REF!</v>
      </c>
      <c r="G93" s="179"/>
      <c r="H93" s="481">
        <f>SUM(H94:H98)</f>
        <v>140466517</v>
      </c>
      <c r="I93" s="481">
        <f t="shared" ref="I93:AI93" si="73">SUM(I94:I98)</f>
        <v>4420525.9000000004</v>
      </c>
      <c r="J93" s="481">
        <f t="shared" si="73"/>
        <v>4724945.1500000004</v>
      </c>
      <c r="K93" s="481">
        <f t="shared" si="73"/>
        <v>140466517</v>
      </c>
      <c r="L93" s="481">
        <f t="shared" si="73"/>
        <v>140466517</v>
      </c>
      <c r="M93" s="481">
        <f t="shared" si="73"/>
        <v>140466517</v>
      </c>
      <c r="N93" s="481">
        <f t="shared" si="73"/>
        <v>140466517</v>
      </c>
      <c r="O93" s="481">
        <f t="shared" si="73"/>
        <v>140466517</v>
      </c>
      <c r="P93" s="481">
        <f t="shared" si="73"/>
        <v>140466517</v>
      </c>
      <c r="Q93" s="481">
        <f t="shared" si="73"/>
        <v>140466517</v>
      </c>
      <c r="R93" s="481">
        <f t="shared" si="73"/>
        <v>140466517</v>
      </c>
      <c r="S93" s="481">
        <f t="shared" si="73"/>
        <v>140466517</v>
      </c>
      <c r="T93" s="481">
        <f t="shared" si="73"/>
        <v>140466517</v>
      </c>
      <c r="U93" s="481">
        <f t="shared" si="73"/>
        <v>140466517</v>
      </c>
      <c r="V93" s="481">
        <f t="shared" si="73"/>
        <v>140466517</v>
      </c>
      <c r="W93" s="481">
        <f t="shared" si="73"/>
        <v>140466517</v>
      </c>
      <c r="X93" s="481">
        <f t="shared" si="73"/>
        <v>140466517</v>
      </c>
      <c r="Y93" s="481">
        <f t="shared" si="73"/>
        <v>140466517</v>
      </c>
      <c r="Z93" s="481">
        <f t="shared" si="73"/>
        <v>140466517</v>
      </c>
      <c r="AA93" s="481">
        <f t="shared" si="73"/>
        <v>140466517</v>
      </c>
      <c r="AB93" s="481">
        <f t="shared" si="73"/>
        <v>140466517</v>
      </c>
      <c r="AC93" s="481">
        <f t="shared" si="73"/>
        <v>140466517</v>
      </c>
      <c r="AD93" s="481">
        <f t="shared" si="73"/>
        <v>140466517</v>
      </c>
      <c r="AE93" s="481">
        <f t="shared" si="73"/>
        <v>140466517</v>
      </c>
      <c r="AF93" s="481">
        <f t="shared" si="73"/>
        <v>140466517</v>
      </c>
      <c r="AG93" s="481">
        <f t="shared" si="73"/>
        <v>4420525.9000000004</v>
      </c>
      <c r="AH93" s="481">
        <f t="shared" si="73"/>
        <v>4724945.1500000004</v>
      </c>
      <c r="AI93" s="481">
        <f t="shared" si="73"/>
        <v>775584.8</v>
      </c>
      <c r="AJ93" s="481">
        <f t="shared" si="69"/>
        <v>136045991.09999999</v>
      </c>
      <c r="AK93" s="481">
        <f t="shared" si="70"/>
        <v>135741571.84999999</v>
      </c>
      <c r="AL93" s="467">
        <f t="shared" si="71"/>
        <v>3.1470317584652581E-2</v>
      </c>
      <c r="AM93" s="467">
        <f t="shared" si="72"/>
        <v>3.3637519110693126E-2</v>
      </c>
      <c r="AN93" s="179">
        <f>SUM(AN94:AN98)</f>
        <v>206718500</v>
      </c>
      <c r="AO93" s="179">
        <f>SUM(AO94:AO98)</f>
        <v>321214685</v>
      </c>
      <c r="AP93" s="142"/>
      <c r="AR93" s="483"/>
      <c r="AS93" s="483"/>
      <c r="AT93" s="484"/>
      <c r="AU93" s="484"/>
      <c r="AV93" s="484"/>
    </row>
    <row r="94" spans="1:49" ht="13.5">
      <c r="A94" s="180" t="s">
        <v>31</v>
      </c>
      <c r="B94" s="181" t="e">
        <f t="array" ref="B94">SUM(IF('[5]2013-2016 Projects'!$D$4:$D$202="Community and social services",'[5]2013-2016 Projects'!$V$4:$V$202,0))</f>
        <v>#REF!</v>
      </c>
      <c r="C94" s="181" t="e">
        <f t="array" ref="C94">SUM(IF('[5]2013-2016 Projects'!$D$4:$D$202="Community and social services",'[5]2013-2016 Projects'!$V$4:$V$202,0))</f>
        <v>#REF!</v>
      </c>
      <c r="D94" s="181" t="e">
        <f t="array" ref="D94">SUM(IF('[5]2013-2016 Projects'!$D$4:$D$202="Community and social services",'[5]2013-2016 Projects'!$V$4:$V$202,0))</f>
        <v>#REF!</v>
      </c>
      <c r="E94" s="181" t="e">
        <f t="array" ref="E94">SUM(IF('[5]2013-2016 Projects'!$D$4:$D$202="Community and social services",'[5]2013-2016 Projects'!$V$4:$V$202,0))</f>
        <v>#REF!</v>
      </c>
      <c r="F94" s="181" t="e">
        <f t="array" ref="F94">SUM(IF('[5]2013-2016 Projects'!$D$4:$D$202="Community and social services",'[5]2013-2016 Projects'!$V$4:$V$202,0))</f>
        <v>#REF!</v>
      </c>
      <c r="G94" s="181"/>
      <c r="H94" s="145">
        <f t="array" ref="H94">SUM(IF('2014-2017 Projects'!$I$5:$I$158="Community and social services",'2014-2017 Projects'!$AK$5:$AK$158,0))</f>
        <v>12500000</v>
      </c>
      <c r="I94" s="145">
        <f t="array" ref="I94">SUM(IF('2014-2017 Projects'!$I$5:$I$158="Community and social services",'2014-2017 Projects'!$AL$5:$AL$158,0))</f>
        <v>0</v>
      </c>
      <c r="J94" s="145">
        <f t="array" ref="J94">SUM(IF('2014-2017 Projects'!$I$5:$I$158="Community and social services",'2014-2017 Projects'!$AN$5:$AN$158,0))</f>
        <v>0</v>
      </c>
      <c r="K94" s="145">
        <f t="array" ref="K94">SUM(IF('2014-2017 Projects'!$I$5:$I$158="Community and social services",'2014-2017 Projects'!$AK$5:$AK$158,0))</f>
        <v>12500000</v>
      </c>
      <c r="L94" s="145">
        <f t="array" ref="L94">SUM(IF('2014-2017 Projects'!$I$5:$I$158="Community and social services",'2014-2017 Projects'!$AK$5:$AK$158,0))</f>
        <v>12500000</v>
      </c>
      <c r="M94" s="145">
        <f t="array" ref="M94">SUM(IF('2014-2017 Projects'!$I$5:$I$158="Community and social services",'2014-2017 Projects'!$AK$5:$AK$158,0))</f>
        <v>12500000</v>
      </c>
      <c r="N94" s="145">
        <f t="array" ref="N94">SUM(IF('2014-2017 Projects'!$I$5:$I$158="Community and social services",'2014-2017 Projects'!$AK$5:$AK$158,0))</f>
        <v>12500000</v>
      </c>
      <c r="O94" s="145">
        <f t="array" ref="O94">SUM(IF('2014-2017 Projects'!$I$5:$I$158="Community and social services",'2014-2017 Projects'!$AK$5:$AK$158,0))</f>
        <v>12500000</v>
      </c>
      <c r="P94" s="145">
        <f t="array" ref="P94">SUM(IF('2014-2017 Projects'!$I$5:$I$158="Community and social services",'2014-2017 Projects'!$AK$5:$AK$158,0))</f>
        <v>12500000</v>
      </c>
      <c r="Q94" s="145">
        <f t="array" ref="Q94">SUM(IF('2014-2017 Projects'!$I$5:$I$158="Community and social services",'2014-2017 Projects'!$AK$5:$AK$158,0))</f>
        <v>12500000</v>
      </c>
      <c r="R94" s="145">
        <f t="array" ref="R94">SUM(IF('2014-2017 Projects'!$I$5:$I$158="Community and social services",'2014-2017 Projects'!$AK$5:$AK$158,0))</f>
        <v>12500000</v>
      </c>
      <c r="S94" s="145">
        <f t="array" ref="S94">SUM(IF('2014-2017 Projects'!$I$5:$I$158="Community and social services",'2014-2017 Projects'!$AK$5:$AK$158,0))</f>
        <v>12500000</v>
      </c>
      <c r="T94" s="145">
        <f t="array" ref="T94">SUM(IF('2014-2017 Projects'!$I$5:$I$158="Community and social services",'2014-2017 Projects'!$AK$5:$AK$158,0))</f>
        <v>12500000</v>
      </c>
      <c r="U94" s="145">
        <f t="array" ref="U94">SUM(IF('2014-2017 Projects'!$I$5:$I$158="Community and social services",'2014-2017 Projects'!$AK$5:$AK$158,0))</f>
        <v>12500000</v>
      </c>
      <c r="V94" s="145">
        <f t="array" ref="V94">SUM(IF('2014-2017 Projects'!$I$5:$I$158="Community and social services",'2014-2017 Projects'!$AK$5:$AK$158,0))</f>
        <v>12500000</v>
      </c>
      <c r="W94" s="145">
        <f t="array" ref="W94">SUM(IF('2014-2017 Projects'!$I$5:$I$158="Community and social services",'2014-2017 Projects'!$AK$5:$AK$158,0))</f>
        <v>12500000</v>
      </c>
      <c r="X94" s="145">
        <f t="array" ref="X94">SUM(IF('2014-2017 Projects'!$I$5:$I$158="Community and social services",'2014-2017 Projects'!$AK$5:$AK$158,0))</f>
        <v>12500000</v>
      </c>
      <c r="Y94" s="145">
        <f t="array" ref="Y94">SUM(IF('2014-2017 Projects'!$I$5:$I$158="Community and social services",'2014-2017 Projects'!$AK$5:$AK$158,0))</f>
        <v>12500000</v>
      </c>
      <c r="Z94" s="145">
        <f t="array" ref="Z94">SUM(IF('2014-2017 Projects'!$I$5:$I$158="Community and social services",'2014-2017 Projects'!$AK$5:$AK$158,0))</f>
        <v>12500000</v>
      </c>
      <c r="AA94" s="145">
        <f t="array" ref="AA94">SUM(IF('2014-2017 Projects'!$I$5:$I$158="Community and social services",'2014-2017 Projects'!$AK$5:$AK$158,0))</f>
        <v>12500000</v>
      </c>
      <c r="AB94" s="145">
        <f t="array" ref="AB94">SUM(IF('2014-2017 Projects'!$I$5:$I$158="Community and social services",'2014-2017 Projects'!$AK$5:$AK$158,0))</f>
        <v>12500000</v>
      </c>
      <c r="AC94" s="145">
        <f t="array" ref="AC94">SUM(IF('2014-2017 Projects'!$I$5:$I$158="Community and social services",'2014-2017 Projects'!$AK$5:$AK$158,0))</f>
        <v>12500000</v>
      </c>
      <c r="AD94" s="145">
        <f t="array" ref="AD94">SUM(IF('2014-2017 Projects'!$I$5:$I$158="Community and social services",'2014-2017 Projects'!$AK$5:$AK$158,0))</f>
        <v>12500000</v>
      </c>
      <c r="AE94" s="145">
        <f t="array" ref="AE94">SUM(IF('2014-2017 Projects'!$I$5:$I$158="Community and social services",'2014-2017 Projects'!$AK$5:$AK$158,0))</f>
        <v>12500000</v>
      </c>
      <c r="AF94" s="145">
        <f t="array" ref="AF94">SUM(IF('2014-2017 Projects'!$I$5:$I$158="Community and social services",'2014-2017 Projects'!$AK$5:$AK$158,0))</f>
        <v>12500000</v>
      </c>
      <c r="AG94" s="145">
        <f t="array" ref="AG94">SUM(IF('2014-2017 Projects'!$I$5:$I$158="Community and social services",'2014-2017 Projects'!$BW$5:$BW$158,0))</f>
        <v>0</v>
      </c>
      <c r="AH94" s="145">
        <f t="array" ref="AH94">SUM(IF('2014-2017 Projects'!$I$5:$I$158="Community and social services",'2014-2017 Projects'!$BX$5:$BX$158,0))</f>
        <v>0</v>
      </c>
      <c r="AI94" s="145">
        <f t="array" ref="AI94">SUM(IF('2014-2017 Projects'!$I$5:$I$158="Community and social services",'2014-2017 Projects'!$BV$5:$BV$158,0))</f>
        <v>9900</v>
      </c>
      <c r="AJ94" s="145">
        <f t="shared" si="69"/>
        <v>12500000</v>
      </c>
      <c r="AK94" s="145">
        <f t="shared" si="70"/>
        <v>12500000</v>
      </c>
      <c r="AL94" s="468">
        <f t="shared" si="71"/>
        <v>0</v>
      </c>
      <c r="AM94" s="468">
        <f t="shared" si="72"/>
        <v>0</v>
      </c>
      <c r="AN94" s="181">
        <f t="array" ref="AN94">SUM(IF('2014-2017 Projects'!$I$5:$I$158="Community and social services",'2014-2017 Projects'!$CE$5:$CE$158,0))</f>
        <v>9500000</v>
      </c>
      <c r="AO94" s="181">
        <f t="array" ref="AO94">SUM(IF('2014-2017 Projects'!$I$5:$I$158="Community and social services",'2014-2017 Projects'!$CF$5:$CF$158,0))</f>
        <v>9500000</v>
      </c>
    </row>
    <row r="95" spans="1:49" ht="13.5">
      <c r="A95" s="180" t="s">
        <v>324</v>
      </c>
      <c r="B95" s="181" t="e">
        <f t="array" ref="B95">SUM(IF('[5]2013-2016 Projects'!$D$4:$D$202="Sport and recreation",'[5]2013-2016 Projects'!$V$4:$V$202,0))</f>
        <v>#REF!</v>
      </c>
      <c r="C95" s="181" t="e">
        <f t="array" ref="C95">SUM(IF('[5]2013-2016 Projects'!$D$4:$D$202="Sport and recreation",'[5]2013-2016 Projects'!$V$4:$V$202,0))</f>
        <v>#REF!</v>
      </c>
      <c r="D95" s="181" t="e">
        <f t="array" ref="D95">SUM(IF('[5]2013-2016 Projects'!$D$4:$D$202="Sport and recreation",'[5]2013-2016 Projects'!$V$4:$V$202,0))</f>
        <v>#REF!</v>
      </c>
      <c r="E95" s="181" t="e">
        <f t="array" ref="E95">SUM(IF('[5]2013-2016 Projects'!$D$4:$D$202="Sport and recreation",'[5]2013-2016 Projects'!$V$4:$V$202,0))</f>
        <v>#REF!</v>
      </c>
      <c r="F95" s="181" t="e">
        <f t="array" ref="F95">SUM(IF('[5]2013-2016 Projects'!$D$4:$D$202="Sport and recreation",'[5]2013-2016 Projects'!$V$4:$V$202,0))</f>
        <v>#REF!</v>
      </c>
      <c r="G95" s="181"/>
      <c r="H95" s="145">
        <f t="array" ref="H95">SUM(IF('2014-2017 Projects'!$I$5:$I$158="Sport and recreation",'2014-2017 Projects'!$AK$5:$AK$158,0))</f>
        <v>28030409</v>
      </c>
      <c r="I95" s="145">
        <f t="array" ref="I95">SUM(IF('2014-2017 Projects'!$I$5:$I$158="Sport and recreation",'2014-2017 Projects'!$AL$5:$AL$158,0))</f>
        <v>0</v>
      </c>
      <c r="J95" s="145">
        <f t="array" ref="J95">SUM(IF('2014-2017 Projects'!$I$5:$I$158="Sport and recreation",'2014-2017 Projects'!$AN$5:$AN$158,0))</f>
        <v>0</v>
      </c>
      <c r="K95" s="145">
        <f t="array" ref="K95">SUM(IF('2014-2017 Projects'!$I$5:$I$158="Sport and recreation",'2014-2017 Projects'!$AK$5:$AK$158,0))</f>
        <v>28030409</v>
      </c>
      <c r="L95" s="145">
        <f t="array" ref="L95">SUM(IF('2014-2017 Projects'!$I$5:$I$158="Sport and recreation",'2014-2017 Projects'!$AK$5:$AK$158,0))</f>
        <v>28030409</v>
      </c>
      <c r="M95" s="145">
        <f t="array" ref="M95">SUM(IF('2014-2017 Projects'!$I$5:$I$158="Sport and recreation",'2014-2017 Projects'!$AK$5:$AK$158,0))</f>
        <v>28030409</v>
      </c>
      <c r="N95" s="145">
        <f t="array" ref="N95">SUM(IF('2014-2017 Projects'!$I$5:$I$158="Sport and recreation",'2014-2017 Projects'!$AK$5:$AK$158,0))</f>
        <v>28030409</v>
      </c>
      <c r="O95" s="145">
        <f t="array" ref="O95">SUM(IF('2014-2017 Projects'!$I$5:$I$158="Sport and recreation",'2014-2017 Projects'!$AK$5:$AK$158,0))</f>
        <v>28030409</v>
      </c>
      <c r="P95" s="145">
        <f t="array" ref="P95">SUM(IF('2014-2017 Projects'!$I$5:$I$158="Sport and recreation",'2014-2017 Projects'!$AK$5:$AK$158,0))</f>
        <v>28030409</v>
      </c>
      <c r="Q95" s="145">
        <f t="array" ref="Q95">SUM(IF('2014-2017 Projects'!$I$5:$I$158="Sport and recreation",'2014-2017 Projects'!$AK$5:$AK$158,0))</f>
        <v>28030409</v>
      </c>
      <c r="R95" s="145">
        <f t="array" ref="R95">SUM(IF('2014-2017 Projects'!$I$5:$I$158="Sport and recreation",'2014-2017 Projects'!$AK$5:$AK$158,0))</f>
        <v>28030409</v>
      </c>
      <c r="S95" s="145">
        <f t="array" ref="S95">SUM(IF('2014-2017 Projects'!$I$5:$I$158="Sport and recreation",'2014-2017 Projects'!$AK$5:$AK$158,0))</f>
        <v>28030409</v>
      </c>
      <c r="T95" s="145">
        <f t="array" ref="T95">SUM(IF('2014-2017 Projects'!$I$5:$I$158="Sport and recreation",'2014-2017 Projects'!$AK$5:$AK$158,0))</f>
        <v>28030409</v>
      </c>
      <c r="U95" s="145">
        <f t="array" ref="U95">SUM(IF('2014-2017 Projects'!$I$5:$I$158="Sport and recreation",'2014-2017 Projects'!$AK$5:$AK$158,0))</f>
        <v>28030409</v>
      </c>
      <c r="V95" s="145">
        <f t="array" ref="V95">SUM(IF('2014-2017 Projects'!$I$5:$I$158="Sport and recreation",'2014-2017 Projects'!$AK$5:$AK$158,0))</f>
        <v>28030409</v>
      </c>
      <c r="W95" s="145">
        <f t="array" ref="W95">SUM(IF('2014-2017 Projects'!$I$5:$I$158="Sport and recreation",'2014-2017 Projects'!$AK$5:$AK$158,0))</f>
        <v>28030409</v>
      </c>
      <c r="X95" s="145">
        <f t="array" ref="X95">SUM(IF('2014-2017 Projects'!$I$5:$I$158="Sport and recreation",'2014-2017 Projects'!$AK$5:$AK$158,0))</f>
        <v>28030409</v>
      </c>
      <c r="Y95" s="145">
        <f t="array" ref="Y95">SUM(IF('2014-2017 Projects'!$I$5:$I$158="Sport and recreation",'2014-2017 Projects'!$AK$5:$AK$158,0))</f>
        <v>28030409</v>
      </c>
      <c r="Z95" s="145">
        <f t="array" ref="Z95">SUM(IF('2014-2017 Projects'!$I$5:$I$158="Sport and recreation",'2014-2017 Projects'!$AK$5:$AK$158,0))</f>
        <v>28030409</v>
      </c>
      <c r="AA95" s="145">
        <f t="array" ref="AA95">SUM(IF('2014-2017 Projects'!$I$5:$I$158="Sport and recreation",'2014-2017 Projects'!$AK$5:$AK$158,0))</f>
        <v>28030409</v>
      </c>
      <c r="AB95" s="145">
        <f t="array" ref="AB95">SUM(IF('2014-2017 Projects'!$I$5:$I$158="Sport and recreation",'2014-2017 Projects'!$AK$5:$AK$158,0))</f>
        <v>28030409</v>
      </c>
      <c r="AC95" s="145">
        <f t="array" ref="AC95">SUM(IF('2014-2017 Projects'!$I$5:$I$158="Sport and recreation",'2014-2017 Projects'!$AK$5:$AK$158,0))</f>
        <v>28030409</v>
      </c>
      <c r="AD95" s="145">
        <f t="array" ref="AD95">SUM(IF('2014-2017 Projects'!$I$5:$I$158="Sport and recreation",'2014-2017 Projects'!$AK$5:$AK$158,0))</f>
        <v>28030409</v>
      </c>
      <c r="AE95" s="145">
        <f t="array" ref="AE95">SUM(IF('2014-2017 Projects'!$I$5:$I$158="Sport and recreation",'2014-2017 Projects'!$AK$5:$AK$158,0))</f>
        <v>28030409</v>
      </c>
      <c r="AF95" s="145">
        <f t="array" ref="AF95">SUM(IF('2014-2017 Projects'!$I$5:$I$158="Sport and recreation",'2014-2017 Projects'!$AK$5:$AK$158,0))</f>
        <v>28030409</v>
      </c>
      <c r="AG95" s="145">
        <f t="array" ref="AG95">SUM(IF('2014-2017 Projects'!$I$5:$I$158="Sport and recreation",'2014-2017 Projects'!$BW$5:$BW$158,0))</f>
        <v>0</v>
      </c>
      <c r="AH95" s="145">
        <f t="array" ref="AH95">SUM(IF('2014-2017 Projects'!$I$5:$I$158="Sport and recreation",'2014-2017 Projects'!$BX$5:$BX$158,0))</f>
        <v>0</v>
      </c>
      <c r="AI95" s="145">
        <f t="array" ref="AI95">SUM(IF('2014-2017 Projects'!$I$5:$I$158="Sport and recreation",'2014-2017 Projects'!$BV$5:$BV$158,0))</f>
        <v>746098.5</v>
      </c>
      <c r="AJ95" s="145">
        <f t="shared" si="69"/>
        <v>28030409</v>
      </c>
      <c r="AK95" s="145">
        <f t="shared" si="70"/>
        <v>28030409</v>
      </c>
      <c r="AL95" s="468">
        <f t="shared" si="71"/>
        <v>0</v>
      </c>
      <c r="AM95" s="468">
        <f t="shared" si="72"/>
        <v>0</v>
      </c>
      <c r="AN95" s="181">
        <f t="array" ref="AN95">SUM(IF('2014-2017 Projects'!$I$5:$I$158="Sport and recreation",'2014-2017 Projects'!$CE$5:$CE$158,0))</f>
        <v>21750000</v>
      </c>
      <c r="AO95" s="181">
        <f t="array" ref="AO95">SUM(IF('2014-2017 Projects'!$I$5:$I$158="Sport and recreation",'2014-2017 Projects'!$CF$5:$CF$158,0))</f>
        <v>19750000</v>
      </c>
    </row>
    <row r="96" spans="1:49" ht="13.5">
      <c r="A96" s="180" t="s">
        <v>32</v>
      </c>
      <c r="B96" s="181" t="e">
        <f t="array" ref="B96">SUM(IF('[5]2013-2016 Projects'!$D$4:$D$202="Public safety",'[5]2013-2016 Projects'!$V$4:$V$202,0))</f>
        <v>#REF!</v>
      </c>
      <c r="C96" s="181" t="e">
        <f t="array" ref="C96">SUM(IF('[5]2013-2016 Projects'!$D$4:$D$202="Public safety",'[5]2013-2016 Projects'!$V$4:$V$202,0))</f>
        <v>#REF!</v>
      </c>
      <c r="D96" s="181" t="e">
        <f t="array" ref="D96">SUM(IF('[5]2013-2016 Projects'!$D$4:$D$202="Public safety",'[5]2013-2016 Projects'!$V$4:$V$202,0))</f>
        <v>#REF!</v>
      </c>
      <c r="E96" s="181" t="e">
        <f t="array" ref="E96">SUM(IF('[5]2013-2016 Projects'!$D$4:$D$202="Public safety",'[5]2013-2016 Projects'!$V$4:$V$202,0))</f>
        <v>#REF!</v>
      </c>
      <c r="F96" s="181" t="e">
        <f t="array" ref="F96">SUM(IF('[5]2013-2016 Projects'!$D$4:$D$202="Public safety",'[5]2013-2016 Projects'!$V$4:$V$202,0))</f>
        <v>#REF!</v>
      </c>
      <c r="G96" s="181"/>
      <c r="H96" s="145">
        <f t="array" ref="H96">SUM(IF('2014-2017 Projects'!$I$5:$I$158="Public safety",'2014-2017 Projects'!$AK$5:$AK$158,0))</f>
        <v>9800000</v>
      </c>
      <c r="I96" s="145">
        <f t="array" ref="I96">SUM(IF('2014-2017 Projects'!$I$5:$I$158="Public safety",'2014-2017 Projects'!$AL$5:$AL$158,0))</f>
        <v>1102.6300000000001</v>
      </c>
      <c r="J96" s="145">
        <f t="array" ref="J96">SUM(IF('2014-2017 Projects'!$I$5:$I$158="Public safety",'2014-2017 Projects'!$AN$5:$AN$158,0))</f>
        <v>1102.6300000000001</v>
      </c>
      <c r="K96" s="145">
        <f t="array" ref="K96">SUM(IF('2014-2017 Projects'!$I$5:$I$158="Public safety",'2014-2017 Projects'!$AK$5:$AK$158,0))</f>
        <v>9800000</v>
      </c>
      <c r="L96" s="145">
        <f t="array" ref="L96">SUM(IF('2014-2017 Projects'!$I$5:$I$158="Public safety",'2014-2017 Projects'!$AK$5:$AK$158,0))</f>
        <v>9800000</v>
      </c>
      <c r="M96" s="145">
        <f t="array" ref="M96">SUM(IF('2014-2017 Projects'!$I$5:$I$158="Public safety",'2014-2017 Projects'!$AK$5:$AK$158,0))</f>
        <v>9800000</v>
      </c>
      <c r="N96" s="145">
        <f t="array" ref="N96">SUM(IF('2014-2017 Projects'!$I$5:$I$158="Public safety",'2014-2017 Projects'!$AK$5:$AK$158,0))</f>
        <v>9800000</v>
      </c>
      <c r="O96" s="145">
        <f t="array" ref="O96">SUM(IF('2014-2017 Projects'!$I$5:$I$158="Public safety",'2014-2017 Projects'!$AK$5:$AK$158,0))</f>
        <v>9800000</v>
      </c>
      <c r="P96" s="145">
        <f t="array" ref="P96">SUM(IF('2014-2017 Projects'!$I$5:$I$158="Public safety",'2014-2017 Projects'!$AK$5:$AK$158,0))</f>
        <v>9800000</v>
      </c>
      <c r="Q96" s="145">
        <f t="array" ref="Q96">SUM(IF('2014-2017 Projects'!$I$5:$I$158="Public safety",'2014-2017 Projects'!$AK$5:$AK$158,0))</f>
        <v>9800000</v>
      </c>
      <c r="R96" s="145">
        <f t="array" ref="R96">SUM(IF('2014-2017 Projects'!$I$5:$I$158="Public safety",'2014-2017 Projects'!$AK$5:$AK$158,0))</f>
        <v>9800000</v>
      </c>
      <c r="S96" s="145">
        <f t="array" ref="S96">SUM(IF('2014-2017 Projects'!$I$5:$I$158="Public safety",'2014-2017 Projects'!$AK$5:$AK$158,0))</f>
        <v>9800000</v>
      </c>
      <c r="T96" s="145">
        <f t="array" ref="T96">SUM(IF('2014-2017 Projects'!$I$5:$I$158="Public safety",'2014-2017 Projects'!$AK$5:$AK$158,0))</f>
        <v>9800000</v>
      </c>
      <c r="U96" s="145">
        <f t="array" ref="U96">SUM(IF('2014-2017 Projects'!$I$5:$I$158="Public safety",'2014-2017 Projects'!$AK$5:$AK$158,0))</f>
        <v>9800000</v>
      </c>
      <c r="V96" s="145">
        <f t="array" ref="V96">SUM(IF('2014-2017 Projects'!$I$5:$I$158="Public safety",'2014-2017 Projects'!$AK$5:$AK$158,0))</f>
        <v>9800000</v>
      </c>
      <c r="W96" s="145">
        <f t="array" ref="W96">SUM(IF('2014-2017 Projects'!$I$5:$I$158="Public safety",'2014-2017 Projects'!$AK$5:$AK$158,0))</f>
        <v>9800000</v>
      </c>
      <c r="X96" s="145">
        <f t="array" ref="X96">SUM(IF('2014-2017 Projects'!$I$5:$I$158="Public safety",'2014-2017 Projects'!$AK$5:$AK$158,0))</f>
        <v>9800000</v>
      </c>
      <c r="Y96" s="145">
        <f t="array" ref="Y96">SUM(IF('2014-2017 Projects'!$I$5:$I$158="Public safety",'2014-2017 Projects'!$AK$5:$AK$158,0))</f>
        <v>9800000</v>
      </c>
      <c r="Z96" s="145">
        <f t="array" ref="Z96">SUM(IF('2014-2017 Projects'!$I$5:$I$158="Public safety",'2014-2017 Projects'!$AK$5:$AK$158,0))</f>
        <v>9800000</v>
      </c>
      <c r="AA96" s="145">
        <f t="array" ref="AA96">SUM(IF('2014-2017 Projects'!$I$5:$I$158="Public safety",'2014-2017 Projects'!$AK$5:$AK$158,0))</f>
        <v>9800000</v>
      </c>
      <c r="AB96" s="145">
        <f t="array" ref="AB96">SUM(IF('2014-2017 Projects'!$I$5:$I$158="Public safety",'2014-2017 Projects'!$AK$5:$AK$158,0))</f>
        <v>9800000</v>
      </c>
      <c r="AC96" s="145">
        <f t="array" ref="AC96">SUM(IF('2014-2017 Projects'!$I$5:$I$158="Public safety",'2014-2017 Projects'!$AK$5:$AK$158,0))</f>
        <v>9800000</v>
      </c>
      <c r="AD96" s="145">
        <f t="array" ref="AD96">SUM(IF('2014-2017 Projects'!$I$5:$I$158="Public safety",'2014-2017 Projects'!$AK$5:$AK$158,0))</f>
        <v>9800000</v>
      </c>
      <c r="AE96" s="145">
        <f t="array" ref="AE96">SUM(IF('2014-2017 Projects'!$I$5:$I$158="Public safety",'2014-2017 Projects'!$AK$5:$AK$158,0))</f>
        <v>9800000</v>
      </c>
      <c r="AF96" s="145">
        <f t="array" ref="AF96">SUM(IF('2014-2017 Projects'!$I$5:$I$158="Public safety",'2014-2017 Projects'!$AK$5:$AK$158,0))</f>
        <v>9800000</v>
      </c>
      <c r="AG96" s="145">
        <f t="array" ref="AG96">SUM(IF('2014-2017 Projects'!$I$5:$I$158="Public safety",'2014-2017 Projects'!$BW$5:$BW$158,0))</f>
        <v>1102.6300000000001</v>
      </c>
      <c r="AH96" s="145">
        <f t="array" ref="AH96">SUM(IF('2014-2017 Projects'!$I$5:$I$158="Public safety",'2014-2017 Projects'!$BX$5:$BX$158,0))</f>
        <v>1102.6300000000001</v>
      </c>
      <c r="AI96" s="145">
        <f t="array" ref="AI96">SUM(IF('2014-2017 Projects'!$I$5:$I$158="Public safety",'2014-2017 Projects'!$BV$5:$BV$158,0))</f>
        <v>0</v>
      </c>
      <c r="AJ96" s="145">
        <f t="shared" si="69"/>
        <v>9798897.3699999992</v>
      </c>
      <c r="AK96" s="145">
        <f t="shared" si="70"/>
        <v>9798897.3699999992</v>
      </c>
      <c r="AL96" s="468">
        <f t="shared" si="71"/>
        <v>1.1251326530612246E-4</v>
      </c>
      <c r="AM96" s="468">
        <f t="shared" si="72"/>
        <v>1.1251326530612246E-4</v>
      </c>
      <c r="AN96" s="181">
        <f t="array" ref="AN96">SUM(IF('2014-2017 Projects'!$I$5:$I$158="Public safety",'2014-2017 Projects'!$CE$5:$CE$158,0))</f>
        <v>12500000</v>
      </c>
      <c r="AO96" s="181">
        <f t="array" ref="AO96">SUM(IF('2014-2017 Projects'!$I$5:$I$158="Public safety",'2014-2017 Projects'!$CF$5:$CF$158,0))</f>
        <v>25200000</v>
      </c>
    </row>
    <row r="97" spans="1:49" ht="13.5">
      <c r="A97" s="180" t="s">
        <v>13</v>
      </c>
      <c r="B97" s="181" t="e">
        <f t="array" ref="B97">SUM(IF('[5]2013-2016 Projects'!$D$4:$D$202="Housing",'[5]2013-2016 Projects'!$V$4:$V$202,0))</f>
        <v>#REF!</v>
      </c>
      <c r="C97" s="181" t="e">
        <f t="array" ref="C97">SUM(IF('[5]2013-2016 Projects'!$D$4:$D$202="Housing",'[5]2013-2016 Projects'!$V$4:$V$202,0))</f>
        <v>#REF!</v>
      </c>
      <c r="D97" s="181" t="e">
        <f t="array" ref="D97">SUM(IF('[5]2013-2016 Projects'!$D$4:$D$202="Housing",'[5]2013-2016 Projects'!$V$4:$V$202,0))</f>
        <v>#REF!</v>
      </c>
      <c r="E97" s="181" t="e">
        <f t="array" ref="E97">SUM(IF('[5]2013-2016 Projects'!$D$4:$D$202="Housing",'[5]2013-2016 Projects'!$V$4:$V$202,0))</f>
        <v>#REF!</v>
      </c>
      <c r="F97" s="181" t="e">
        <f t="array" ref="F97">SUM(IF('[5]2013-2016 Projects'!$D$4:$D$202="Housing",'[5]2013-2016 Projects'!$V$4:$V$202,0))</f>
        <v>#REF!</v>
      </c>
      <c r="G97" s="181"/>
      <c r="H97" s="145">
        <f t="array" ref="H97">SUM(IF('2014-2017 Projects'!$I$5:$I$156="Housing",'2014-2017 Projects'!$AK$5:$AK$156,0))</f>
        <v>90136108</v>
      </c>
      <c r="I97" s="145">
        <f t="array" ref="I97">SUM(IF('2014-2017 Projects'!$I$5:$I$156="Housing",'2014-2017 Projects'!$AL$5:$AL$156,0))</f>
        <v>4419423.2700000005</v>
      </c>
      <c r="J97" s="145">
        <f t="array" ref="J97">SUM(IF('2014-2017 Projects'!$I$5:$I$156="Housing",'2014-2017 Projects'!$AN$5:$AN$156,0))</f>
        <v>4723842.5200000005</v>
      </c>
      <c r="K97" s="145">
        <f t="array" ref="K97">SUM(IF('2014-2017 Projects'!$I$5:$I$156="Housing",'2014-2017 Projects'!$AK$5:$AK$156,0))</f>
        <v>90136108</v>
      </c>
      <c r="L97" s="145">
        <f t="array" ref="L97">SUM(IF('2014-2017 Projects'!$I$5:$I$156="Housing",'2014-2017 Projects'!$AK$5:$AK$156,0))</f>
        <v>90136108</v>
      </c>
      <c r="M97" s="145">
        <f t="array" ref="M97">SUM(IF('2014-2017 Projects'!$I$5:$I$156="Housing",'2014-2017 Projects'!$AK$5:$AK$156,0))</f>
        <v>90136108</v>
      </c>
      <c r="N97" s="145">
        <f t="array" ref="N97">SUM(IF('2014-2017 Projects'!$I$5:$I$156="Housing",'2014-2017 Projects'!$AK$5:$AK$156,0))</f>
        <v>90136108</v>
      </c>
      <c r="O97" s="145">
        <f t="array" ref="O97">SUM(IF('2014-2017 Projects'!$I$5:$I$156="Housing",'2014-2017 Projects'!$AK$5:$AK$156,0))</f>
        <v>90136108</v>
      </c>
      <c r="P97" s="145">
        <f t="array" ref="P97">SUM(IF('2014-2017 Projects'!$I$5:$I$156="Housing",'2014-2017 Projects'!$AK$5:$AK$156,0))</f>
        <v>90136108</v>
      </c>
      <c r="Q97" s="145">
        <f t="array" ref="Q97">SUM(IF('2014-2017 Projects'!$I$5:$I$156="Housing",'2014-2017 Projects'!$AK$5:$AK$156,0))</f>
        <v>90136108</v>
      </c>
      <c r="R97" s="145">
        <f t="array" ref="R97">SUM(IF('2014-2017 Projects'!$I$5:$I$156="Housing",'2014-2017 Projects'!$AK$5:$AK$156,0))</f>
        <v>90136108</v>
      </c>
      <c r="S97" s="145">
        <f t="array" ref="S97">SUM(IF('2014-2017 Projects'!$I$5:$I$156="Housing",'2014-2017 Projects'!$AK$5:$AK$156,0))</f>
        <v>90136108</v>
      </c>
      <c r="T97" s="145">
        <f t="array" ref="T97">SUM(IF('2014-2017 Projects'!$I$5:$I$156="Housing",'2014-2017 Projects'!$AK$5:$AK$156,0))</f>
        <v>90136108</v>
      </c>
      <c r="U97" s="145">
        <f t="array" ref="U97">SUM(IF('2014-2017 Projects'!$I$5:$I$156="Housing",'2014-2017 Projects'!$AK$5:$AK$156,0))</f>
        <v>90136108</v>
      </c>
      <c r="V97" s="145">
        <f t="array" ref="V97">SUM(IF('2014-2017 Projects'!$I$5:$I$156="Housing",'2014-2017 Projects'!$AK$5:$AK$156,0))</f>
        <v>90136108</v>
      </c>
      <c r="W97" s="145">
        <f t="array" ref="W97">SUM(IF('2014-2017 Projects'!$I$5:$I$156="Housing",'2014-2017 Projects'!$AK$5:$AK$156,0))</f>
        <v>90136108</v>
      </c>
      <c r="X97" s="145">
        <f t="array" ref="X97">SUM(IF('2014-2017 Projects'!$I$5:$I$156="Housing",'2014-2017 Projects'!$AK$5:$AK$156,0))</f>
        <v>90136108</v>
      </c>
      <c r="Y97" s="145">
        <f t="array" ref="Y97">SUM(IF('2014-2017 Projects'!$I$5:$I$156="Housing",'2014-2017 Projects'!$AK$5:$AK$156,0))</f>
        <v>90136108</v>
      </c>
      <c r="Z97" s="145">
        <f t="array" ref="Z97">SUM(IF('2014-2017 Projects'!$I$5:$I$156="Housing",'2014-2017 Projects'!$AK$5:$AK$156,0))</f>
        <v>90136108</v>
      </c>
      <c r="AA97" s="145">
        <f t="array" ref="AA97">SUM(IF('2014-2017 Projects'!$I$5:$I$156="Housing",'2014-2017 Projects'!$AK$5:$AK$156,0))</f>
        <v>90136108</v>
      </c>
      <c r="AB97" s="145">
        <f t="array" ref="AB97">SUM(IF('2014-2017 Projects'!$I$5:$I$156="Housing",'2014-2017 Projects'!$AK$5:$AK$156,0))</f>
        <v>90136108</v>
      </c>
      <c r="AC97" s="145">
        <f t="array" ref="AC97">SUM(IF('2014-2017 Projects'!$I$5:$I$156="Housing",'2014-2017 Projects'!$AK$5:$AK$156,0))</f>
        <v>90136108</v>
      </c>
      <c r="AD97" s="145">
        <f t="array" ref="AD97">SUM(IF('2014-2017 Projects'!$I$5:$I$156="Housing",'2014-2017 Projects'!$AK$5:$AK$156,0))</f>
        <v>90136108</v>
      </c>
      <c r="AE97" s="145">
        <f t="array" ref="AE97">SUM(IF('2014-2017 Projects'!$I$5:$I$156="Housing",'2014-2017 Projects'!$AK$5:$AK$156,0))</f>
        <v>90136108</v>
      </c>
      <c r="AF97" s="145">
        <f t="array" ref="AF97">SUM(IF('2014-2017 Projects'!$I$5:$I$156="Housing",'2014-2017 Projects'!$AK$5:$AK$156,0))</f>
        <v>90136108</v>
      </c>
      <c r="AG97" s="145">
        <f t="array" ref="AG97">SUM(IF('2014-2017 Projects'!$I$5:$I$156="Housing",'2014-2017 Projects'!$BW$5:$BW$156,0))</f>
        <v>4419423.2700000005</v>
      </c>
      <c r="AH97" s="145">
        <f t="array" ref="AH97">SUM(IF('2014-2017 Projects'!$I$5:$I$156="Housing",'2014-2017 Projects'!$BX$5:$BX$156,0))</f>
        <v>4723842.5200000005</v>
      </c>
      <c r="AI97" s="145">
        <f t="array" ref="AI97">SUM(IF('2014-2017 Projects'!$I$5:$I$156="Housing",'2014-2017 Projects'!$BV$5:$BV$156,0))</f>
        <v>19586.3</v>
      </c>
      <c r="AJ97" s="145">
        <f t="shared" si="69"/>
        <v>85716684.730000004</v>
      </c>
      <c r="AK97" s="145">
        <f t="shared" si="70"/>
        <v>85412265.480000004</v>
      </c>
      <c r="AL97" s="468">
        <f t="shared" si="71"/>
        <v>4.9030553549083797E-2</v>
      </c>
      <c r="AM97" s="468">
        <f t="shared" si="72"/>
        <v>5.2407882088718549E-2</v>
      </c>
      <c r="AN97" s="181">
        <f t="array" ref="AN97">SUM(IF('2014-2017 Projects'!$I$5:$I$84="Housing",'2014-2017 Projects'!$CE$5:$CE$84,0))</f>
        <v>162968500</v>
      </c>
      <c r="AO97" s="181">
        <f t="array" ref="AO97">SUM(IF('2014-2017 Projects'!$I$5:$I$84="Housing",'2014-2017 Projects'!$CF$5:$CF$84,0))</f>
        <v>266764685</v>
      </c>
    </row>
    <row r="98" spans="1:49" ht="13.5">
      <c r="A98" s="180" t="s">
        <v>325</v>
      </c>
      <c r="B98" s="181" t="e">
        <f t="array" ref="B98">SUM(IF('[5]2013-2016 Projects'!$D$4:$D$202="Health",'[5]2013-2016 Projects'!$V$4:$V$202,0))</f>
        <v>#REF!</v>
      </c>
      <c r="C98" s="181" t="e">
        <f t="array" ref="C98">SUM(IF('[5]2013-2016 Projects'!$D$4:$D$202="Health",'[5]2013-2016 Projects'!$V$4:$V$202,0))</f>
        <v>#REF!</v>
      </c>
      <c r="D98" s="181" t="e">
        <f t="array" ref="D98">SUM(IF('[5]2013-2016 Projects'!$D$4:$D$202="Health",'[5]2013-2016 Projects'!$V$4:$V$202,0))</f>
        <v>#REF!</v>
      </c>
      <c r="E98" s="181" t="e">
        <f t="array" ref="E98">SUM(IF('[5]2013-2016 Projects'!$D$4:$D$202="Health",'[5]2013-2016 Projects'!$V$4:$V$202,0))</f>
        <v>#REF!</v>
      </c>
      <c r="F98" s="181" t="e">
        <f t="array" ref="F98">SUM(IF('[5]2013-2016 Projects'!$D$4:$D$202="Health",'[5]2013-2016 Projects'!$V$4:$V$202,0))</f>
        <v>#REF!</v>
      </c>
      <c r="G98" s="181"/>
      <c r="H98" s="145">
        <f t="array" ref="H98">SUM(IF('2014-2017 Projects'!$I$5:$I$158="Health",'2014-2017 Projects'!$AK$5:$AK$158,0))</f>
        <v>0</v>
      </c>
      <c r="I98" s="145">
        <f t="array" ref="I98">SUM(IF('2014-2017 Projects'!$I$5:$I$158="Health",'2014-2017 Projects'!$AK$5:$AK$158,0))</f>
        <v>0</v>
      </c>
      <c r="J98" s="145">
        <f t="array" ref="J98">SUM(IF('2014-2017 Projects'!$I$5:$I$158="Health",'2014-2017 Projects'!$AK$5:$AK$158,0))</f>
        <v>0</v>
      </c>
      <c r="K98" s="145">
        <f t="array" ref="K98">SUM(IF('2014-2017 Projects'!$I$5:$I$158="Health",'2014-2017 Projects'!$AK$5:$AK$158,0))</f>
        <v>0</v>
      </c>
      <c r="L98" s="145">
        <f t="array" ref="L98">SUM(IF('2014-2017 Projects'!$I$5:$I$158="Health",'2014-2017 Projects'!$AK$5:$AK$158,0))</f>
        <v>0</v>
      </c>
      <c r="M98" s="145">
        <f t="array" ref="M98">SUM(IF('2014-2017 Projects'!$I$5:$I$158="Health",'2014-2017 Projects'!$AK$5:$AK$158,0))</f>
        <v>0</v>
      </c>
      <c r="N98" s="145">
        <f t="array" ref="N98">SUM(IF('2014-2017 Projects'!$I$5:$I$158="Health",'2014-2017 Projects'!$AK$5:$AK$158,0))</f>
        <v>0</v>
      </c>
      <c r="O98" s="145">
        <f t="array" ref="O98">SUM(IF('2014-2017 Projects'!$I$5:$I$158="Health",'2014-2017 Projects'!$AK$5:$AK$158,0))</f>
        <v>0</v>
      </c>
      <c r="P98" s="145">
        <f t="array" ref="P98">SUM(IF('2014-2017 Projects'!$I$5:$I$158="Health",'2014-2017 Projects'!$AK$5:$AK$158,0))</f>
        <v>0</v>
      </c>
      <c r="Q98" s="145">
        <f t="array" ref="Q98">SUM(IF('2014-2017 Projects'!$I$5:$I$158="Health",'2014-2017 Projects'!$AK$5:$AK$158,0))</f>
        <v>0</v>
      </c>
      <c r="R98" s="145">
        <f t="array" ref="R98">SUM(IF('2014-2017 Projects'!$I$5:$I$158="Health",'2014-2017 Projects'!$AK$5:$AK$158,0))</f>
        <v>0</v>
      </c>
      <c r="S98" s="145">
        <f t="array" ref="S98">SUM(IF('2014-2017 Projects'!$I$5:$I$158="Health",'2014-2017 Projects'!$AK$5:$AK$158,0))</f>
        <v>0</v>
      </c>
      <c r="T98" s="145">
        <f t="array" ref="T98">SUM(IF('2014-2017 Projects'!$I$5:$I$158="Health",'2014-2017 Projects'!$AK$5:$AK$158,0))</f>
        <v>0</v>
      </c>
      <c r="U98" s="145">
        <f t="array" ref="U98">SUM(IF('2014-2017 Projects'!$I$5:$I$158="Health",'2014-2017 Projects'!$AK$5:$AK$158,0))</f>
        <v>0</v>
      </c>
      <c r="V98" s="145">
        <f t="array" ref="V98">SUM(IF('2014-2017 Projects'!$I$5:$I$158="Health",'2014-2017 Projects'!$AK$5:$AK$158,0))</f>
        <v>0</v>
      </c>
      <c r="W98" s="145">
        <f t="array" ref="W98">SUM(IF('2014-2017 Projects'!$I$5:$I$158="Health",'2014-2017 Projects'!$AK$5:$AK$158,0))</f>
        <v>0</v>
      </c>
      <c r="X98" s="145">
        <f t="array" ref="X98">SUM(IF('2014-2017 Projects'!$I$5:$I$158="Health",'2014-2017 Projects'!$AK$5:$AK$158,0))</f>
        <v>0</v>
      </c>
      <c r="Y98" s="145">
        <f t="array" ref="Y98">SUM(IF('2014-2017 Projects'!$I$5:$I$158="Health",'2014-2017 Projects'!$AK$5:$AK$158,0))</f>
        <v>0</v>
      </c>
      <c r="Z98" s="145">
        <f t="array" ref="Z98">SUM(IF('2014-2017 Projects'!$I$5:$I$158="Health",'2014-2017 Projects'!$AK$5:$AK$158,0))</f>
        <v>0</v>
      </c>
      <c r="AA98" s="145">
        <f t="array" ref="AA98">SUM(IF('2014-2017 Projects'!$I$5:$I$158="Health",'2014-2017 Projects'!$AK$5:$AK$158,0))</f>
        <v>0</v>
      </c>
      <c r="AB98" s="145">
        <f t="array" ref="AB98">SUM(IF('2014-2017 Projects'!$I$5:$I$158="Health",'2014-2017 Projects'!$AK$5:$AK$158,0))</f>
        <v>0</v>
      </c>
      <c r="AC98" s="145">
        <f t="array" ref="AC98">SUM(IF('2014-2017 Projects'!$I$5:$I$158="Health",'2014-2017 Projects'!$AK$5:$AK$158,0))</f>
        <v>0</v>
      </c>
      <c r="AD98" s="145">
        <f t="array" ref="AD98">SUM(IF('2014-2017 Projects'!$I$5:$I$158="Health",'2014-2017 Projects'!$AK$5:$AK$158,0))</f>
        <v>0</v>
      </c>
      <c r="AE98" s="145">
        <f t="array" ref="AE98">SUM(IF('2014-2017 Projects'!$I$5:$I$158="Health",'2014-2017 Projects'!$AK$5:$AK$158,0))</f>
        <v>0</v>
      </c>
      <c r="AF98" s="145">
        <f t="array" ref="AF98">SUM(IF('2014-2017 Projects'!$I$5:$I$158="Health",'2014-2017 Projects'!$AK$5:$AK$158,0))</f>
        <v>0</v>
      </c>
      <c r="AG98" s="145">
        <f t="array" ref="AG98">SUM(IF('2014-2017 Projects'!$I$5:$I$158="Health",'2014-2017 Projects'!$AK$5:$AK$158,0))</f>
        <v>0</v>
      </c>
      <c r="AH98" s="145">
        <f t="array" ref="AH98">SUM(IF('2014-2017 Projects'!$I$5:$I$158="Health",'2014-2017 Projects'!$AK$5:$AK$158,0))</f>
        <v>0</v>
      </c>
      <c r="AI98" s="145">
        <f t="array" ref="AI98">SUM(IF('2014-2017 Projects'!$I$5:$I$158="Health",'2014-2017 Projects'!$AK$5:$AK$158,0))</f>
        <v>0</v>
      </c>
      <c r="AJ98" s="145">
        <f t="shared" si="69"/>
        <v>0</v>
      </c>
      <c r="AK98" s="145">
        <f t="shared" si="70"/>
        <v>0</v>
      </c>
      <c r="AL98" s="468" t="e">
        <f t="shared" si="71"/>
        <v>#DIV/0!</v>
      </c>
      <c r="AM98" s="468" t="e">
        <f t="shared" si="72"/>
        <v>#DIV/0!</v>
      </c>
      <c r="AN98" s="181">
        <f t="array" ref="AN98">SUM(IF('2014-2017 Projects'!$I$5:$I$158="Health",'2014-2017 Projects'!$CE$5:$CE$158,0))</f>
        <v>0</v>
      </c>
      <c r="AO98" s="181">
        <f t="array" ref="AO98">SUM(IF('2014-2017 Projects'!$I$5:$I$158="Health",'2014-2017 Projects'!$CF$5:$CF$158,0))</f>
        <v>0</v>
      </c>
    </row>
    <row r="99" spans="1:49" s="482" customFormat="1" ht="13.5">
      <c r="A99" s="178" t="s">
        <v>326</v>
      </c>
      <c r="B99" s="179" t="e">
        <f>SUM(B100:B102)</f>
        <v>#REF!</v>
      </c>
      <c r="C99" s="179" t="e">
        <f>SUM(C100:C102)</f>
        <v>#REF!</v>
      </c>
      <c r="D99" s="179" t="e">
        <f>SUM(D100:D102)</f>
        <v>#REF!</v>
      </c>
      <c r="E99" s="179" t="e">
        <f>SUM(E100:E102)</f>
        <v>#REF!</v>
      </c>
      <c r="F99" s="179" t="e">
        <f>SUM(F100:F102)</f>
        <v>#REF!</v>
      </c>
      <c r="G99" s="179"/>
      <c r="H99" s="481">
        <f>SUM(H100:H102)</f>
        <v>262895288</v>
      </c>
      <c r="I99" s="481">
        <f t="shared" ref="I99:AI99" si="74">SUM(I100:I102)</f>
        <v>5180.8399999999965</v>
      </c>
      <c r="J99" s="481">
        <f t="shared" si="74"/>
        <v>5180.8399999999965</v>
      </c>
      <c r="K99" s="481">
        <f t="shared" si="74"/>
        <v>262895288</v>
      </c>
      <c r="L99" s="481">
        <f t="shared" si="74"/>
        <v>262895288</v>
      </c>
      <c r="M99" s="481">
        <f t="shared" si="74"/>
        <v>262895288</v>
      </c>
      <c r="N99" s="481">
        <f t="shared" si="74"/>
        <v>262895288</v>
      </c>
      <c r="O99" s="481">
        <f t="shared" si="74"/>
        <v>262895288</v>
      </c>
      <c r="P99" s="481">
        <f t="shared" si="74"/>
        <v>262895288</v>
      </c>
      <c r="Q99" s="481">
        <f t="shared" si="74"/>
        <v>262895288</v>
      </c>
      <c r="R99" s="481">
        <f t="shared" si="74"/>
        <v>262895288</v>
      </c>
      <c r="S99" s="481">
        <f t="shared" si="74"/>
        <v>262895288</v>
      </c>
      <c r="T99" s="481">
        <f t="shared" si="74"/>
        <v>262895288</v>
      </c>
      <c r="U99" s="481">
        <f t="shared" si="74"/>
        <v>262895288</v>
      </c>
      <c r="V99" s="481">
        <f t="shared" si="74"/>
        <v>262895288</v>
      </c>
      <c r="W99" s="481">
        <f t="shared" si="74"/>
        <v>262895288</v>
      </c>
      <c r="X99" s="481">
        <f t="shared" si="74"/>
        <v>262895288</v>
      </c>
      <c r="Y99" s="481">
        <f t="shared" si="74"/>
        <v>262895288</v>
      </c>
      <c r="Z99" s="481">
        <f t="shared" si="74"/>
        <v>262895288</v>
      </c>
      <c r="AA99" s="481">
        <f t="shared" si="74"/>
        <v>262895288</v>
      </c>
      <c r="AB99" s="481">
        <f t="shared" si="74"/>
        <v>262895288</v>
      </c>
      <c r="AC99" s="481">
        <f t="shared" si="74"/>
        <v>262895288</v>
      </c>
      <c r="AD99" s="481">
        <f t="shared" si="74"/>
        <v>262895288</v>
      </c>
      <c r="AE99" s="481">
        <f t="shared" si="74"/>
        <v>262895288</v>
      </c>
      <c r="AF99" s="481">
        <f t="shared" si="74"/>
        <v>262895288</v>
      </c>
      <c r="AG99" s="481">
        <f t="shared" si="74"/>
        <v>5180.8399999999965</v>
      </c>
      <c r="AH99" s="481">
        <f t="shared" si="74"/>
        <v>5180.8399999999965</v>
      </c>
      <c r="AI99" s="481">
        <f t="shared" si="74"/>
        <v>3069444.75</v>
      </c>
      <c r="AJ99" s="481">
        <f t="shared" si="69"/>
        <v>262890107.16</v>
      </c>
      <c r="AK99" s="481">
        <f t="shared" si="70"/>
        <v>262890107.16</v>
      </c>
      <c r="AL99" s="467">
        <f t="shared" si="71"/>
        <v>1.9706857583541006E-5</v>
      </c>
      <c r="AM99" s="467">
        <f t="shared" si="72"/>
        <v>1.9706857583541006E-5</v>
      </c>
      <c r="AN99" s="179">
        <f>SUM(AN100:AN102)</f>
        <v>245220661</v>
      </c>
      <c r="AO99" s="179">
        <f>SUM(AO100:AO102)</f>
        <v>271655051</v>
      </c>
      <c r="AP99" s="142"/>
      <c r="AR99" s="483"/>
      <c r="AS99" s="483"/>
      <c r="AT99" s="484"/>
      <c r="AU99" s="484"/>
      <c r="AV99" s="484"/>
    </row>
    <row r="100" spans="1:49" ht="13.5">
      <c r="A100" s="180" t="s">
        <v>33</v>
      </c>
      <c r="B100" s="181" t="e">
        <f t="array" ref="B100">SUM(IF('[5]2013-2016 Projects'!$D$4:$D$202="Planning and development",'[5]2013-2016 Projects'!$V$4:$V$202,0))</f>
        <v>#REF!</v>
      </c>
      <c r="C100" s="181" t="e">
        <f t="array" ref="C100">SUM(IF('[5]2013-2016 Projects'!$D$4:$D$202="Planning and development",'[5]2013-2016 Projects'!$V$4:$V$202,0))</f>
        <v>#REF!</v>
      </c>
      <c r="D100" s="181" t="e">
        <f t="array" ref="D100">SUM(IF('[5]2013-2016 Projects'!$D$4:$D$202="Planning and development",'[5]2013-2016 Projects'!$V$4:$V$202,0))</f>
        <v>#REF!</v>
      </c>
      <c r="E100" s="181" t="e">
        <f t="array" ref="E100">SUM(IF('[5]2013-2016 Projects'!$D$4:$D$202="Planning and development",'[5]2013-2016 Projects'!$V$4:$V$202,0))</f>
        <v>#REF!</v>
      </c>
      <c r="F100" s="181" t="e">
        <f t="array" ref="F100">SUM(IF('[5]2013-2016 Projects'!$D$4:$D$202="Planning and development",'[5]2013-2016 Projects'!$V$4:$V$202,0))</f>
        <v>#REF!</v>
      </c>
      <c r="G100" s="181"/>
      <c r="H100" s="145">
        <f t="array" ref="H100">SUM(IF('2014-2017 Projects'!$I$5:$I$158="Planning and development",'2014-2017 Projects'!$AK$5:$AK$158,0))</f>
        <v>54895288</v>
      </c>
      <c r="I100" s="145">
        <f t="array" ref="I100">SUM(IF('2014-2017 Projects'!$I$5:$I$158="Planning and development",'2014-2017 Projects'!$AL$5:$AL$158,0))</f>
        <v>52995</v>
      </c>
      <c r="J100" s="145">
        <f t="array" ref="J100">SUM(IF('2014-2017 Projects'!$I$5:$I$158="Planning and development",'2014-2017 Projects'!$AN$5:$AN$158,0))</f>
        <v>52995</v>
      </c>
      <c r="K100" s="145">
        <f t="array" ref="K100">SUM(IF('2014-2017 Projects'!$I$5:$I$158="Planning and development",'2014-2017 Projects'!$AK$5:$AK$158,0))</f>
        <v>54895288</v>
      </c>
      <c r="L100" s="145">
        <f t="array" ref="L100">SUM(IF('2014-2017 Projects'!$I$5:$I$158="Planning and development",'2014-2017 Projects'!$AK$5:$AK$158,0))</f>
        <v>54895288</v>
      </c>
      <c r="M100" s="145">
        <f t="array" ref="M100">SUM(IF('2014-2017 Projects'!$I$5:$I$158="Planning and development",'2014-2017 Projects'!$AK$5:$AK$158,0))</f>
        <v>54895288</v>
      </c>
      <c r="N100" s="145">
        <f t="array" ref="N100">SUM(IF('2014-2017 Projects'!$I$5:$I$158="Planning and development",'2014-2017 Projects'!$AK$5:$AK$158,0))</f>
        <v>54895288</v>
      </c>
      <c r="O100" s="145">
        <f t="array" ref="O100">SUM(IF('2014-2017 Projects'!$I$5:$I$158="Planning and development",'2014-2017 Projects'!$AK$5:$AK$158,0))</f>
        <v>54895288</v>
      </c>
      <c r="P100" s="145">
        <f t="array" ref="P100">SUM(IF('2014-2017 Projects'!$I$5:$I$158="Planning and development",'2014-2017 Projects'!$AK$5:$AK$158,0))</f>
        <v>54895288</v>
      </c>
      <c r="Q100" s="145">
        <f t="array" ref="Q100">SUM(IF('2014-2017 Projects'!$I$5:$I$158="Planning and development",'2014-2017 Projects'!$AK$5:$AK$158,0))</f>
        <v>54895288</v>
      </c>
      <c r="R100" s="145">
        <f t="array" ref="R100">SUM(IF('2014-2017 Projects'!$I$5:$I$158="Planning and development",'2014-2017 Projects'!$AK$5:$AK$158,0))</f>
        <v>54895288</v>
      </c>
      <c r="S100" s="145">
        <f t="array" ref="S100">SUM(IF('2014-2017 Projects'!$I$5:$I$158="Planning and development",'2014-2017 Projects'!$AK$5:$AK$158,0))</f>
        <v>54895288</v>
      </c>
      <c r="T100" s="145">
        <f t="array" ref="T100">SUM(IF('2014-2017 Projects'!$I$5:$I$158="Planning and development",'2014-2017 Projects'!$AK$5:$AK$158,0))</f>
        <v>54895288</v>
      </c>
      <c r="U100" s="145">
        <f t="array" ref="U100">SUM(IF('2014-2017 Projects'!$I$5:$I$158="Planning and development",'2014-2017 Projects'!$AK$5:$AK$158,0))</f>
        <v>54895288</v>
      </c>
      <c r="V100" s="145">
        <f t="array" ref="V100">SUM(IF('2014-2017 Projects'!$I$5:$I$158="Planning and development",'2014-2017 Projects'!$AK$5:$AK$158,0))</f>
        <v>54895288</v>
      </c>
      <c r="W100" s="145">
        <f t="array" ref="W100">SUM(IF('2014-2017 Projects'!$I$5:$I$158="Planning and development",'2014-2017 Projects'!$AK$5:$AK$158,0))</f>
        <v>54895288</v>
      </c>
      <c r="X100" s="145">
        <f t="array" ref="X100">SUM(IF('2014-2017 Projects'!$I$5:$I$158="Planning and development",'2014-2017 Projects'!$AK$5:$AK$158,0))</f>
        <v>54895288</v>
      </c>
      <c r="Y100" s="145">
        <f t="array" ref="Y100">SUM(IF('2014-2017 Projects'!$I$5:$I$158="Planning and development",'2014-2017 Projects'!$AK$5:$AK$158,0))</f>
        <v>54895288</v>
      </c>
      <c r="Z100" s="145">
        <f t="array" ref="Z100">SUM(IF('2014-2017 Projects'!$I$5:$I$158="Planning and development",'2014-2017 Projects'!$AK$5:$AK$158,0))</f>
        <v>54895288</v>
      </c>
      <c r="AA100" s="145">
        <f t="array" ref="AA100">SUM(IF('2014-2017 Projects'!$I$5:$I$158="Planning and development",'2014-2017 Projects'!$AK$5:$AK$158,0))</f>
        <v>54895288</v>
      </c>
      <c r="AB100" s="145">
        <f t="array" ref="AB100">SUM(IF('2014-2017 Projects'!$I$5:$I$158="Planning and development",'2014-2017 Projects'!$AK$5:$AK$158,0))</f>
        <v>54895288</v>
      </c>
      <c r="AC100" s="145">
        <f t="array" ref="AC100">SUM(IF('2014-2017 Projects'!$I$5:$I$158="Planning and development",'2014-2017 Projects'!$AK$5:$AK$158,0))</f>
        <v>54895288</v>
      </c>
      <c r="AD100" s="145">
        <f t="array" ref="AD100">SUM(IF('2014-2017 Projects'!$I$5:$I$158="Planning and development",'2014-2017 Projects'!$AK$5:$AK$158,0))</f>
        <v>54895288</v>
      </c>
      <c r="AE100" s="145">
        <f t="array" ref="AE100">SUM(IF('2014-2017 Projects'!$I$5:$I$158="Planning and development",'2014-2017 Projects'!$AK$5:$AK$158,0))</f>
        <v>54895288</v>
      </c>
      <c r="AF100" s="145">
        <f t="array" ref="AF100">SUM(IF('2014-2017 Projects'!$I$5:$I$158="Planning and development",'2014-2017 Projects'!$AK$5:$AK$158,0))</f>
        <v>54895288</v>
      </c>
      <c r="AG100" s="145">
        <f t="array" ref="AG100">SUM(IF('2014-2017 Projects'!$I$5:$I$158="Planning and development",'2014-2017 Projects'!$BW$5:$BW$158,0))</f>
        <v>52995</v>
      </c>
      <c r="AH100" s="145">
        <f t="array" ref="AH100">SUM(IF('2014-2017 Projects'!$I$5:$I$158="Planning and development",'2014-2017 Projects'!$BX$5:$BX$158,0))</f>
        <v>52995</v>
      </c>
      <c r="AI100" s="145">
        <f t="array" ref="AI100">SUM(IF('2014-2017 Projects'!$I$5:$I$158="Planning and development",'2014-2017 Projects'!$BV$5:$BV$158,0))</f>
        <v>3069444.75</v>
      </c>
      <c r="AJ100" s="145">
        <f t="shared" si="69"/>
        <v>54842293</v>
      </c>
      <c r="AK100" s="145">
        <f t="shared" si="70"/>
        <v>54842293</v>
      </c>
      <c r="AL100" s="468">
        <f t="shared" si="71"/>
        <v>9.6538340412750912E-4</v>
      </c>
      <c r="AM100" s="468">
        <f t="shared" si="72"/>
        <v>9.6538340412750912E-4</v>
      </c>
      <c r="AN100" s="181">
        <f t="array" ref="AN100">SUM(IF('2014-2017 Projects'!$I$5:$I$158="Planning and development",'2014-2017 Projects'!$CE$5:$CE$158,0))</f>
        <v>52220661</v>
      </c>
      <c r="AO100" s="181">
        <f t="array" ref="AO100">SUM(IF('2014-2017 Projects'!$I$5:$I$158="Planning and development",'2014-2017 Projects'!$CF$5:$CF$158,0))</f>
        <v>83655051</v>
      </c>
    </row>
    <row r="101" spans="1:49" ht="13.5">
      <c r="A101" s="180" t="s">
        <v>34</v>
      </c>
      <c r="B101" s="181" t="e">
        <f t="array" ref="B101">SUM(IF('[5]2013-2016 Projects'!$D$4:$D$202="Road transport",'[5]2013-2016 Projects'!$V$4:$V$202,0))</f>
        <v>#REF!</v>
      </c>
      <c r="C101" s="181" t="e">
        <f t="array" ref="C101">SUM(IF('[5]2013-2016 Projects'!$D$4:$D$202="Road transport",'[5]2013-2016 Projects'!$V$4:$V$202,0))</f>
        <v>#REF!</v>
      </c>
      <c r="D101" s="181" t="e">
        <f t="array" ref="D101">SUM(IF('[5]2013-2016 Projects'!$D$4:$D$202="Road transport",'[5]2013-2016 Projects'!$V$4:$V$202,0))</f>
        <v>#REF!</v>
      </c>
      <c r="E101" s="181" t="e">
        <f t="array" ref="E101">SUM(IF('[5]2013-2016 Projects'!$D$4:$D$202="Road transport",'[5]2013-2016 Projects'!$V$4:$V$202,0))</f>
        <v>#REF!</v>
      </c>
      <c r="F101" s="181" t="e">
        <f t="array" ref="F101">SUM(IF('[5]2013-2016 Projects'!$D$4:$D$202="Road transport",'[5]2013-2016 Projects'!$V$4:$V$202,0))</f>
        <v>#REF!</v>
      </c>
      <c r="G101" s="181"/>
      <c r="H101" s="145">
        <f t="array" ref="H101">SUM(IF('2014-2017 Projects'!$I$5:$I$158="Road Transport",'2014-2017 Projects'!$AK$5:$AK$158,0))</f>
        <v>198000000</v>
      </c>
      <c r="I101" s="145">
        <f t="array" ref="I101">SUM(IF('2014-2017 Projects'!$I$5:$I$158="Road Transport",'2014-2017 Projects'!$AL$5:$AL$158,0))</f>
        <v>-47814.16</v>
      </c>
      <c r="J101" s="145">
        <f t="array" ref="J101">SUM(IF('2014-2017 Projects'!$I$5:$I$158="Road Transport",'2014-2017 Projects'!$AN$5:$AN$158,0))</f>
        <v>-47814.16</v>
      </c>
      <c r="K101" s="145">
        <f t="array" ref="K101">SUM(IF('2014-2017 Projects'!$I$5:$I$158="Road Transport",'2014-2017 Projects'!$AK$5:$AK$158,0))</f>
        <v>198000000</v>
      </c>
      <c r="L101" s="145">
        <f t="array" ref="L101">SUM(IF('2014-2017 Projects'!$I$5:$I$158="Road Transport",'2014-2017 Projects'!$AK$5:$AK$158,0))</f>
        <v>198000000</v>
      </c>
      <c r="M101" s="145">
        <f t="array" ref="M101">SUM(IF('2014-2017 Projects'!$I$5:$I$158="Road Transport",'2014-2017 Projects'!$AK$5:$AK$158,0))</f>
        <v>198000000</v>
      </c>
      <c r="N101" s="145">
        <f t="array" ref="N101">SUM(IF('2014-2017 Projects'!$I$5:$I$158="Road Transport",'2014-2017 Projects'!$AK$5:$AK$158,0))</f>
        <v>198000000</v>
      </c>
      <c r="O101" s="145">
        <f t="array" ref="O101">SUM(IF('2014-2017 Projects'!$I$5:$I$158="Road Transport",'2014-2017 Projects'!$AK$5:$AK$158,0))</f>
        <v>198000000</v>
      </c>
      <c r="P101" s="145">
        <f t="array" ref="P101">SUM(IF('2014-2017 Projects'!$I$5:$I$158="Road Transport",'2014-2017 Projects'!$AK$5:$AK$158,0))</f>
        <v>198000000</v>
      </c>
      <c r="Q101" s="145">
        <f t="array" ref="Q101">SUM(IF('2014-2017 Projects'!$I$5:$I$158="Road Transport",'2014-2017 Projects'!$AK$5:$AK$158,0))</f>
        <v>198000000</v>
      </c>
      <c r="R101" s="145">
        <f t="array" ref="R101">SUM(IF('2014-2017 Projects'!$I$5:$I$158="Road Transport",'2014-2017 Projects'!$AK$5:$AK$158,0))</f>
        <v>198000000</v>
      </c>
      <c r="S101" s="145">
        <f t="array" ref="S101">SUM(IF('2014-2017 Projects'!$I$5:$I$158="Road Transport",'2014-2017 Projects'!$AK$5:$AK$158,0))</f>
        <v>198000000</v>
      </c>
      <c r="T101" s="145">
        <f t="array" ref="T101">SUM(IF('2014-2017 Projects'!$I$5:$I$158="Road Transport",'2014-2017 Projects'!$AK$5:$AK$158,0))</f>
        <v>198000000</v>
      </c>
      <c r="U101" s="145">
        <f t="array" ref="U101">SUM(IF('2014-2017 Projects'!$I$5:$I$158="Road Transport",'2014-2017 Projects'!$AK$5:$AK$158,0))</f>
        <v>198000000</v>
      </c>
      <c r="V101" s="145">
        <f t="array" ref="V101">SUM(IF('2014-2017 Projects'!$I$5:$I$158="Road Transport",'2014-2017 Projects'!$AK$5:$AK$158,0))</f>
        <v>198000000</v>
      </c>
      <c r="W101" s="145">
        <f t="array" ref="W101">SUM(IF('2014-2017 Projects'!$I$5:$I$158="Road Transport",'2014-2017 Projects'!$AK$5:$AK$158,0))</f>
        <v>198000000</v>
      </c>
      <c r="X101" s="145">
        <f t="array" ref="X101">SUM(IF('2014-2017 Projects'!$I$5:$I$158="Road Transport",'2014-2017 Projects'!$AK$5:$AK$158,0))</f>
        <v>198000000</v>
      </c>
      <c r="Y101" s="145">
        <f t="array" ref="Y101">SUM(IF('2014-2017 Projects'!$I$5:$I$158="Road Transport",'2014-2017 Projects'!$AK$5:$AK$158,0))</f>
        <v>198000000</v>
      </c>
      <c r="Z101" s="145">
        <f t="array" ref="Z101">SUM(IF('2014-2017 Projects'!$I$5:$I$158="Road Transport",'2014-2017 Projects'!$AK$5:$AK$158,0))</f>
        <v>198000000</v>
      </c>
      <c r="AA101" s="145">
        <f t="array" ref="AA101">SUM(IF('2014-2017 Projects'!$I$5:$I$158="Road Transport",'2014-2017 Projects'!$AK$5:$AK$158,0))</f>
        <v>198000000</v>
      </c>
      <c r="AB101" s="145">
        <f t="array" ref="AB101">SUM(IF('2014-2017 Projects'!$I$5:$I$158="Road Transport",'2014-2017 Projects'!$AK$5:$AK$158,0))</f>
        <v>198000000</v>
      </c>
      <c r="AC101" s="145">
        <f t="array" ref="AC101">SUM(IF('2014-2017 Projects'!$I$5:$I$158="Road Transport",'2014-2017 Projects'!$AK$5:$AK$158,0))</f>
        <v>198000000</v>
      </c>
      <c r="AD101" s="145">
        <f t="array" ref="AD101">SUM(IF('2014-2017 Projects'!$I$5:$I$158="Road Transport",'2014-2017 Projects'!$AK$5:$AK$158,0))</f>
        <v>198000000</v>
      </c>
      <c r="AE101" s="145">
        <f t="array" ref="AE101">SUM(IF('2014-2017 Projects'!$I$5:$I$158="Road Transport",'2014-2017 Projects'!$AK$5:$AK$158,0))</f>
        <v>198000000</v>
      </c>
      <c r="AF101" s="145">
        <f t="array" ref="AF101">SUM(IF('2014-2017 Projects'!$I$5:$I$158="Road Transport",'2014-2017 Projects'!$AK$5:$AK$158,0))</f>
        <v>198000000</v>
      </c>
      <c r="AG101" s="145">
        <f t="array" ref="AG101">SUM(IF('2014-2017 Projects'!$I$5:$I$158="Road Transport",'2014-2017 Projects'!$BW$5:$BW$158,0))</f>
        <v>-47814.16</v>
      </c>
      <c r="AH101" s="145">
        <f t="array" ref="AH101">SUM(IF('2014-2017 Projects'!$I$5:$I$158="Road Transport",'2014-2017 Projects'!$BX$5:$BX$158,0))</f>
        <v>-47814.16</v>
      </c>
      <c r="AI101" s="145">
        <f t="array" ref="AI101">SUM(IF('2014-2017 Projects'!$I$5:$I$158="Road Transport",'2014-2017 Projects'!$BV$5:$BV$158,0))</f>
        <v>0</v>
      </c>
      <c r="AJ101" s="145">
        <f t="shared" si="69"/>
        <v>198047814.16</v>
      </c>
      <c r="AK101" s="145">
        <f t="shared" si="70"/>
        <v>198047814.16</v>
      </c>
      <c r="AL101" s="468">
        <f t="shared" si="71"/>
        <v>-2.4148565656565658E-4</v>
      </c>
      <c r="AM101" s="468">
        <f t="shared" si="72"/>
        <v>-2.4148565656565658E-4</v>
      </c>
      <c r="AN101" s="181">
        <f t="array" ref="AN101">SUM(IF('2014-2017 Projects'!$I$5:$I$158="Road Transport",'2014-2017 Projects'!$CE$5:$CE$158,0))</f>
        <v>185000000</v>
      </c>
      <c r="AO101" s="181">
        <f t="array" ref="AO101">SUM(IF('2014-2017 Projects'!$I$5:$I$158="Road Transport",'2014-2017 Projects'!$CF$5:$CF$158,0))</f>
        <v>180000000</v>
      </c>
    </row>
    <row r="102" spans="1:49" ht="13.5">
      <c r="A102" s="180" t="s">
        <v>327</v>
      </c>
      <c r="B102" s="181" t="e">
        <f t="array" ref="B102">SUM(IF('[5]2013-2016 Projects'!$D$4:$D$202="Environmental protection",'[5]2013-2016 Projects'!$V$4:$V$202,0))</f>
        <v>#REF!</v>
      </c>
      <c r="C102" s="181" t="e">
        <f t="array" ref="C102">SUM(IF('[5]2013-2016 Projects'!$D$4:$D$202="Environmental protection",'[5]2013-2016 Projects'!$V$4:$V$202,0))</f>
        <v>#REF!</v>
      </c>
      <c r="D102" s="181" t="e">
        <f t="array" ref="D102">SUM(IF('[5]2013-2016 Projects'!$D$4:$D$202="Environmental protection",'[5]2013-2016 Projects'!$V$4:$V$202,0))</f>
        <v>#REF!</v>
      </c>
      <c r="E102" s="181" t="e">
        <f t="array" ref="E102">SUM(IF('[5]2013-2016 Projects'!$D$4:$D$202="Environmental protection",'[5]2013-2016 Projects'!$V$4:$V$202,0))</f>
        <v>#REF!</v>
      </c>
      <c r="F102" s="181" t="e">
        <f t="array" ref="F102">SUM(IF('[5]2013-2016 Projects'!$D$4:$D$202="Environmental protection",'[5]2013-2016 Projects'!$V$4:$V$202,0))</f>
        <v>#REF!</v>
      </c>
      <c r="G102" s="181"/>
      <c r="H102" s="145">
        <f t="array" ref="H102">SUM(IF('2014-2017 Projects'!$I$5:$I$158="Environmental Protection",'2014-2017 Projects'!$AK$5:$AK$158,0))</f>
        <v>10000000</v>
      </c>
      <c r="I102" s="145">
        <f t="array" ref="I102">SUM(IF('2014-2017 Projects'!$I$5:$I$158="Environmental Protection",'2014-2017 Projects'!$AL$5:$AL$158,0))</f>
        <v>0</v>
      </c>
      <c r="J102" s="145">
        <f t="array" ref="J102">SUM(IF('2014-2017 Projects'!$I$5:$I$158="Environmental Protection",'2014-2017 Projects'!$AN$5:$AN$158,0))</f>
        <v>0</v>
      </c>
      <c r="K102" s="145">
        <f t="array" ref="K102">SUM(IF('2014-2017 Projects'!$I$5:$I$158="Environmental Protection",'2014-2017 Projects'!$AK$5:$AK$158,0))</f>
        <v>10000000</v>
      </c>
      <c r="L102" s="145">
        <f t="array" ref="L102">SUM(IF('2014-2017 Projects'!$I$5:$I$158="Environmental Protection",'2014-2017 Projects'!$AK$5:$AK$158,0))</f>
        <v>10000000</v>
      </c>
      <c r="M102" s="145">
        <f t="array" ref="M102">SUM(IF('2014-2017 Projects'!$I$5:$I$158="Environmental Protection",'2014-2017 Projects'!$AK$5:$AK$158,0))</f>
        <v>10000000</v>
      </c>
      <c r="N102" s="145">
        <f t="array" ref="N102">SUM(IF('2014-2017 Projects'!$I$5:$I$158="Environmental Protection",'2014-2017 Projects'!$AK$5:$AK$158,0))</f>
        <v>10000000</v>
      </c>
      <c r="O102" s="145">
        <f t="array" ref="O102">SUM(IF('2014-2017 Projects'!$I$5:$I$158="Environmental Protection",'2014-2017 Projects'!$AK$5:$AK$158,0))</f>
        <v>10000000</v>
      </c>
      <c r="P102" s="145">
        <f t="array" ref="P102">SUM(IF('2014-2017 Projects'!$I$5:$I$158="Environmental Protection",'2014-2017 Projects'!$AK$5:$AK$158,0))</f>
        <v>10000000</v>
      </c>
      <c r="Q102" s="145">
        <f t="array" ref="Q102">SUM(IF('2014-2017 Projects'!$I$5:$I$158="Environmental Protection",'2014-2017 Projects'!$AK$5:$AK$158,0))</f>
        <v>10000000</v>
      </c>
      <c r="R102" s="145">
        <f t="array" ref="R102">SUM(IF('2014-2017 Projects'!$I$5:$I$158="Environmental Protection",'2014-2017 Projects'!$AK$5:$AK$158,0))</f>
        <v>10000000</v>
      </c>
      <c r="S102" s="145">
        <f t="array" ref="S102">SUM(IF('2014-2017 Projects'!$I$5:$I$158="Environmental Protection",'2014-2017 Projects'!$AK$5:$AK$158,0))</f>
        <v>10000000</v>
      </c>
      <c r="T102" s="145">
        <f t="array" ref="T102">SUM(IF('2014-2017 Projects'!$I$5:$I$158="Environmental Protection",'2014-2017 Projects'!$AK$5:$AK$158,0))</f>
        <v>10000000</v>
      </c>
      <c r="U102" s="145">
        <f t="array" ref="U102">SUM(IF('2014-2017 Projects'!$I$5:$I$158="Environmental Protection",'2014-2017 Projects'!$AK$5:$AK$158,0))</f>
        <v>10000000</v>
      </c>
      <c r="V102" s="145">
        <f t="array" ref="V102">SUM(IF('2014-2017 Projects'!$I$5:$I$158="Environmental Protection",'2014-2017 Projects'!$AK$5:$AK$158,0))</f>
        <v>10000000</v>
      </c>
      <c r="W102" s="145">
        <f t="array" ref="W102">SUM(IF('2014-2017 Projects'!$I$5:$I$158="Environmental Protection",'2014-2017 Projects'!$AK$5:$AK$158,0))</f>
        <v>10000000</v>
      </c>
      <c r="X102" s="145">
        <f t="array" ref="X102">SUM(IF('2014-2017 Projects'!$I$5:$I$158="Environmental Protection",'2014-2017 Projects'!$AK$5:$AK$158,0))</f>
        <v>10000000</v>
      </c>
      <c r="Y102" s="145">
        <f t="array" ref="Y102">SUM(IF('2014-2017 Projects'!$I$5:$I$158="Environmental Protection",'2014-2017 Projects'!$AK$5:$AK$158,0))</f>
        <v>10000000</v>
      </c>
      <c r="Z102" s="145">
        <f t="array" ref="Z102">SUM(IF('2014-2017 Projects'!$I$5:$I$158="Environmental Protection",'2014-2017 Projects'!$AK$5:$AK$158,0))</f>
        <v>10000000</v>
      </c>
      <c r="AA102" s="145">
        <f t="array" ref="AA102">SUM(IF('2014-2017 Projects'!$I$5:$I$158="Environmental Protection",'2014-2017 Projects'!$AK$5:$AK$158,0))</f>
        <v>10000000</v>
      </c>
      <c r="AB102" s="145">
        <f t="array" ref="AB102">SUM(IF('2014-2017 Projects'!$I$5:$I$158="Environmental Protection",'2014-2017 Projects'!$AK$5:$AK$158,0))</f>
        <v>10000000</v>
      </c>
      <c r="AC102" s="145">
        <f t="array" ref="AC102">SUM(IF('2014-2017 Projects'!$I$5:$I$158="Environmental Protection",'2014-2017 Projects'!$AK$5:$AK$158,0))</f>
        <v>10000000</v>
      </c>
      <c r="AD102" s="145">
        <f t="array" ref="AD102">SUM(IF('2014-2017 Projects'!$I$5:$I$158="Environmental Protection",'2014-2017 Projects'!$AK$5:$AK$158,0))</f>
        <v>10000000</v>
      </c>
      <c r="AE102" s="145">
        <f t="array" ref="AE102">SUM(IF('2014-2017 Projects'!$I$5:$I$158="Environmental Protection",'2014-2017 Projects'!$AK$5:$AK$158,0))</f>
        <v>10000000</v>
      </c>
      <c r="AF102" s="145">
        <f t="array" ref="AF102">SUM(IF('2014-2017 Projects'!$I$5:$I$158="Environmental Protection",'2014-2017 Projects'!$AK$5:$AK$158,0))</f>
        <v>10000000</v>
      </c>
      <c r="AG102" s="145">
        <f t="array" ref="AG102">SUM(IF('2014-2017 Projects'!$I$5:$I$158="Environmental Protection",'2014-2017 Projects'!$BW$5:$BW$158,0))</f>
        <v>0</v>
      </c>
      <c r="AH102" s="145">
        <f t="array" ref="AH102">SUM(IF('2014-2017 Projects'!$I$5:$I$158="Environmental Protection",'2014-2017 Projects'!$BX$5:$BX$158,0))</f>
        <v>0</v>
      </c>
      <c r="AI102" s="145">
        <f t="array" ref="AI102">SUM(IF('2014-2017 Projects'!$I$5:$I$158="Environmental Protection",'2014-2017 Projects'!$BV$5:$BV$158,0))</f>
        <v>0</v>
      </c>
      <c r="AJ102" s="145">
        <f t="shared" si="69"/>
        <v>10000000</v>
      </c>
      <c r="AK102" s="145">
        <f t="shared" si="70"/>
        <v>10000000</v>
      </c>
      <c r="AL102" s="468">
        <f t="shared" si="71"/>
        <v>0</v>
      </c>
      <c r="AM102" s="468">
        <f t="shared" si="72"/>
        <v>0</v>
      </c>
      <c r="AN102" s="181">
        <f t="array" ref="AN102">SUM(IF('2014-2017 Projects'!$I$5:$I$158="Environmental Protection",'2014-2017 Projects'!$CE$5:$CE$158,0))</f>
        <v>8000000</v>
      </c>
      <c r="AO102" s="181">
        <f t="array" ref="AO102">SUM(IF('2014-2017 Projects'!$I$5:$I$158="Environmental Protection",'2014-2017 Projects'!$CF$5:$CF$158,0))</f>
        <v>8000000</v>
      </c>
    </row>
    <row r="103" spans="1:49" s="482" customFormat="1" ht="13.5">
      <c r="A103" s="178" t="s">
        <v>328</v>
      </c>
      <c r="B103" s="179" t="e">
        <f>SUM(B104:B107)</f>
        <v>#REF!</v>
      </c>
      <c r="C103" s="179" t="e">
        <f>SUM(C104:C107)</f>
        <v>#REF!</v>
      </c>
      <c r="D103" s="179" t="e">
        <f>SUM(D104:D107)</f>
        <v>#REF!</v>
      </c>
      <c r="E103" s="179" t="e">
        <f>SUM(E104:E107)</f>
        <v>#REF!</v>
      </c>
      <c r="F103" s="179" t="e">
        <f>SUM(F104:F107)</f>
        <v>#REF!</v>
      </c>
      <c r="G103" s="179"/>
      <c r="H103" s="481">
        <f>SUM(H104:H107)</f>
        <v>503195618</v>
      </c>
      <c r="I103" s="481">
        <f t="shared" ref="I103:AI103" si="75">SUM(I104:I107)</f>
        <v>-165484.90999999997</v>
      </c>
      <c r="J103" s="481">
        <f t="shared" si="75"/>
        <v>-165484.90999999997</v>
      </c>
      <c r="K103" s="481">
        <f t="shared" si="75"/>
        <v>503195618</v>
      </c>
      <c r="L103" s="481">
        <f t="shared" si="75"/>
        <v>503195618</v>
      </c>
      <c r="M103" s="481">
        <f t="shared" si="75"/>
        <v>503195618</v>
      </c>
      <c r="N103" s="481">
        <f t="shared" si="75"/>
        <v>503195618</v>
      </c>
      <c r="O103" s="481">
        <f t="shared" si="75"/>
        <v>503195618</v>
      </c>
      <c r="P103" s="481">
        <f t="shared" si="75"/>
        <v>503195618</v>
      </c>
      <c r="Q103" s="481">
        <f t="shared" si="75"/>
        <v>503195618</v>
      </c>
      <c r="R103" s="481">
        <f t="shared" si="75"/>
        <v>503195618</v>
      </c>
      <c r="S103" s="481">
        <f t="shared" si="75"/>
        <v>503195618</v>
      </c>
      <c r="T103" s="481">
        <f t="shared" si="75"/>
        <v>503195618</v>
      </c>
      <c r="U103" s="481">
        <f t="shared" si="75"/>
        <v>503195618</v>
      </c>
      <c r="V103" s="481">
        <f t="shared" si="75"/>
        <v>503195618</v>
      </c>
      <c r="W103" s="481">
        <f t="shared" si="75"/>
        <v>503195618</v>
      </c>
      <c r="X103" s="481">
        <f t="shared" si="75"/>
        <v>503195618</v>
      </c>
      <c r="Y103" s="481">
        <f t="shared" si="75"/>
        <v>503195618</v>
      </c>
      <c r="Z103" s="481">
        <f t="shared" si="75"/>
        <v>503195618</v>
      </c>
      <c r="AA103" s="481">
        <f t="shared" si="75"/>
        <v>503195618</v>
      </c>
      <c r="AB103" s="481">
        <f t="shared" si="75"/>
        <v>503195618</v>
      </c>
      <c r="AC103" s="481">
        <f t="shared" si="75"/>
        <v>503195618</v>
      </c>
      <c r="AD103" s="481">
        <f t="shared" si="75"/>
        <v>503195618</v>
      </c>
      <c r="AE103" s="481">
        <f t="shared" si="75"/>
        <v>503195618</v>
      </c>
      <c r="AF103" s="481">
        <f t="shared" si="75"/>
        <v>503195618</v>
      </c>
      <c r="AG103" s="481">
        <f t="shared" si="75"/>
        <v>-165484.90999999997</v>
      </c>
      <c r="AH103" s="481">
        <f t="shared" si="75"/>
        <v>-165484.90999999997</v>
      </c>
      <c r="AI103" s="481">
        <f t="shared" si="75"/>
        <v>1335649.82</v>
      </c>
      <c r="AJ103" s="481">
        <f t="shared" si="69"/>
        <v>503361102.91000003</v>
      </c>
      <c r="AK103" s="481">
        <f t="shared" si="70"/>
        <v>503361102.91000003</v>
      </c>
      <c r="AL103" s="467">
        <f t="shared" si="71"/>
        <v>-3.2886794733574164E-4</v>
      </c>
      <c r="AM103" s="467">
        <f t="shared" si="72"/>
        <v>-3.2886794733574164E-4</v>
      </c>
      <c r="AN103" s="179">
        <f>SUM(AN104:AN107)</f>
        <v>518210100</v>
      </c>
      <c r="AO103" s="179">
        <f>SUM(AO104:AO107)</f>
        <v>424912415</v>
      </c>
      <c r="AP103" s="142"/>
      <c r="AR103" s="483"/>
      <c r="AS103" s="483"/>
      <c r="AT103" s="484"/>
      <c r="AU103" s="484"/>
      <c r="AV103" s="484"/>
    </row>
    <row r="104" spans="1:49" ht="13.5">
      <c r="A104" s="180" t="s">
        <v>14</v>
      </c>
      <c r="B104" s="181" t="e">
        <f t="array" ref="B104">SUM(IF('[5]2013-2016 Projects'!$D$4:$D$202="Electricity",'[5]2013-2016 Projects'!$V$4:$V$202,0))</f>
        <v>#REF!</v>
      </c>
      <c r="C104" s="181" t="e">
        <f t="array" ref="C104">SUM(IF('[5]2013-2016 Projects'!$D$4:$D$202="Electricity",'[5]2013-2016 Projects'!$V$4:$V$202,0))</f>
        <v>#REF!</v>
      </c>
      <c r="D104" s="181" t="e">
        <f t="array" ref="D104">SUM(IF('[5]2013-2016 Projects'!$D$4:$D$202="Electricity",'[5]2013-2016 Projects'!$V$4:$V$202,0))</f>
        <v>#REF!</v>
      </c>
      <c r="E104" s="181" t="e">
        <f t="array" ref="E104">SUM(IF('[5]2013-2016 Projects'!$D$4:$D$202="Electricity",'[5]2013-2016 Projects'!$V$4:$V$202,0))</f>
        <v>#REF!</v>
      </c>
      <c r="F104" s="181" t="e">
        <f t="array" ref="F104">SUM(IF('[5]2013-2016 Projects'!$D$4:$D$202="Electricity",'[5]2013-2016 Projects'!$V$4:$V$202,0))</f>
        <v>#REF!</v>
      </c>
      <c r="G104" s="181"/>
      <c r="H104" s="145">
        <f t="array" ref="H104">SUM(IF('2014-2017 Projects'!$I$5:$I$158="Electricity",'2014-2017 Projects'!$AK$5:$AK$158,0))</f>
        <v>152999000</v>
      </c>
      <c r="I104" s="145">
        <f t="array" ref="I104">SUM(IF('2014-2017 Projects'!$I$5:$I$158="Electricity",'2014-2017 Projects'!$AL5:$AL$158,0))</f>
        <v>34346</v>
      </c>
      <c r="J104" s="145">
        <f t="array" ref="J104">SUM(IF('2014-2017 Projects'!$I$5:$I$158="Electricity",'2014-2017 Projects'!$AN$5:$AN$158,0))</f>
        <v>34346</v>
      </c>
      <c r="K104" s="145">
        <f t="array" ref="K104">SUM(IF('2014-2017 Projects'!$I$5:$I$158="Electricity",'2014-2017 Projects'!$AK$5:$AK$158,0))</f>
        <v>152999000</v>
      </c>
      <c r="L104" s="145">
        <f t="array" ref="L104">SUM(IF('2014-2017 Projects'!$I$5:$I$158="Electricity",'2014-2017 Projects'!$AK$5:$AK$158,0))</f>
        <v>152999000</v>
      </c>
      <c r="M104" s="145">
        <f t="array" ref="M104">SUM(IF('2014-2017 Projects'!$I$5:$I$158="Electricity",'2014-2017 Projects'!$AK$5:$AK$158,0))</f>
        <v>152999000</v>
      </c>
      <c r="N104" s="145">
        <f t="array" ref="N104">SUM(IF('2014-2017 Projects'!$I$5:$I$158="Electricity",'2014-2017 Projects'!$AK$5:$AK$158,0))</f>
        <v>152999000</v>
      </c>
      <c r="O104" s="145">
        <f t="array" ref="O104">SUM(IF('2014-2017 Projects'!$I$5:$I$158="Electricity",'2014-2017 Projects'!$AK$5:$AK$158,0))</f>
        <v>152999000</v>
      </c>
      <c r="P104" s="145">
        <f t="array" ref="P104">SUM(IF('2014-2017 Projects'!$I$5:$I$158="Electricity",'2014-2017 Projects'!$AK$5:$AK$158,0))</f>
        <v>152999000</v>
      </c>
      <c r="Q104" s="145">
        <f t="array" ref="Q104">SUM(IF('2014-2017 Projects'!$I$5:$I$158="Electricity",'2014-2017 Projects'!$AK$5:$AK$158,0))</f>
        <v>152999000</v>
      </c>
      <c r="R104" s="145">
        <f t="array" ref="R104">SUM(IF('2014-2017 Projects'!$I$5:$I$158="Electricity",'2014-2017 Projects'!$AK$5:$AK$158,0))</f>
        <v>152999000</v>
      </c>
      <c r="S104" s="145">
        <f t="array" ref="S104">SUM(IF('2014-2017 Projects'!$I$5:$I$158="Electricity",'2014-2017 Projects'!$AK$5:$AK$158,0))</f>
        <v>152999000</v>
      </c>
      <c r="T104" s="145">
        <f t="array" ref="T104">SUM(IF('2014-2017 Projects'!$I$5:$I$158="Electricity",'2014-2017 Projects'!$AK$5:$AK$158,0))</f>
        <v>152999000</v>
      </c>
      <c r="U104" s="145">
        <f t="array" ref="U104">SUM(IF('2014-2017 Projects'!$I$5:$I$158="Electricity",'2014-2017 Projects'!$AK$5:$AK$158,0))</f>
        <v>152999000</v>
      </c>
      <c r="V104" s="145">
        <f t="array" ref="V104">SUM(IF('2014-2017 Projects'!$I$5:$I$158="Electricity",'2014-2017 Projects'!$AK$5:$AK$158,0))</f>
        <v>152999000</v>
      </c>
      <c r="W104" s="145">
        <f t="array" ref="W104">SUM(IF('2014-2017 Projects'!$I$5:$I$158="Electricity",'2014-2017 Projects'!$AK$5:$AK$158,0))</f>
        <v>152999000</v>
      </c>
      <c r="X104" s="145">
        <f t="array" ref="X104">SUM(IF('2014-2017 Projects'!$I$5:$I$158="Electricity",'2014-2017 Projects'!$AK$5:$AK$158,0))</f>
        <v>152999000</v>
      </c>
      <c r="Y104" s="145">
        <f t="array" ref="Y104">SUM(IF('2014-2017 Projects'!$I$5:$I$158="Electricity",'2014-2017 Projects'!$AK$5:$AK$158,0))</f>
        <v>152999000</v>
      </c>
      <c r="Z104" s="145">
        <f t="array" ref="Z104">SUM(IF('2014-2017 Projects'!$I$5:$I$158="Electricity",'2014-2017 Projects'!$AK$5:$AK$158,0))</f>
        <v>152999000</v>
      </c>
      <c r="AA104" s="145">
        <f t="array" ref="AA104">SUM(IF('2014-2017 Projects'!$I$5:$I$158="Electricity",'2014-2017 Projects'!$AK$5:$AK$158,0))</f>
        <v>152999000</v>
      </c>
      <c r="AB104" s="145">
        <f t="array" ref="AB104">SUM(IF('2014-2017 Projects'!$I$5:$I$158="Electricity",'2014-2017 Projects'!$AK$5:$AK$158,0))</f>
        <v>152999000</v>
      </c>
      <c r="AC104" s="145">
        <f t="array" ref="AC104">SUM(IF('2014-2017 Projects'!$I$5:$I$158="Electricity",'2014-2017 Projects'!$AK$5:$AK$158,0))</f>
        <v>152999000</v>
      </c>
      <c r="AD104" s="145">
        <f t="array" ref="AD104">SUM(IF('2014-2017 Projects'!$I$5:$I$158="Electricity",'2014-2017 Projects'!$AK$5:$AK$158,0))</f>
        <v>152999000</v>
      </c>
      <c r="AE104" s="145">
        <f t="array" ref="AE104">SUM(IF('2014-2017 Projects'!$I$5:$I$158="Electricity",'2014-2017 Projects'!$AK$5:$AK$158,0))</f>
        <v>152999000</v>
      </c>
      <c r="AF104" s="145">
        <f t="array" ref="AF104">SUM(IF('2014-2017 Projects'!$I$5:$I$158="Electricity",'2014-2017 Projects'!$AK$5:$AK$158,0))</f>
        <v>152999000</v>
      </c>
      <c r="AG104" s="145">
        <f t="array" ref="AG104">SUM(IF('2014-2017 Projects'!$I$5:$I$158="Electricity",'2014-2017 Projects'!$BW$5:$BW$158,0))</f>
        <v>34346</v>
      </c>
      <c r="AH104" s="145">
        <f t="array" ref="AH104">SUM(IF('2014-2017 Projects'!$I$5:$I$158="Electricity",'2014-2017 Projects'!$BX$5:$BX$158,0))</f>
        <v>34346</v>
      </c>
      <c r="AI104" s="145">
        <f t="array" ref="AI104">SUM(IF('2014-2017 Projects'!$I$5:$I$158="Electricity",'2014-2017 Projects'!$BV$5:$BV$158,0))</f>
        <v>0</v>
      </c>
      <c r="AJ104" s="145">
        <f t="shared" si="69"/>
        <v>152964654</v>
      </c>
      <c r="AK104" s="145">
        <f t="shared" si="70"/>
        <v>152964654</v>
      </c>
      <c r="AL104" s="468">
        <f t="shared" si="71"/>
        <v>2.2448512735377357E-4</v>
      </c>
      <c r="AM104" s="468">
        <f t="shared" si="72"/>
        <v>2.2448512735377357E-4</v>
      </c>
      <c r="AN104" s="181">
        <f t="array" ref="AN104">SUM(IF('2014-2017 Projects'!$I$5:$I$158="Electricity",'2014-2017 Projects'!$CE$5:$CE$158,0))</f>
        <v>160500000</v>
      </c>
      <c r="AO104" s="181">
        <f t="array" ref="AO104">SUM(IF('2014-2017 Projects'!$I$5:$I$158="Electricity",'2014-2017 Projects'!$CF$5:$CF$158,0))</f>
        <v>166500000</v>
      </c>
    </row>
    <row r="105" spans="1:49" ht="13.5">
      <c r="A105" s="180" t="s">
        <v>35</v>
      </c>
      <c r="B105" s="181" t="e">
        <f t="array" ref="B105">SUM(IF('[5]2013-2016 Projects'!$D$4:$D$202="Water",'[5]2013-2016 Projects'!$V$4:$V$202,0))</f>
        <v>#REF!</v>
      </c>
      <c r="C105" s="181" t="e">
        <f t="array" ref="C105">SUM(IF('[5]2013-2016 Projects'!$D$4:$D$202="Water",'[5]2013-2016 Projects'!$V$4:$V$202,0))</f>
        <v>#REF!</v>
      </c>
      <c r="D105" s="181" t="e">
        <f t="array" ref="D105">SUM(IF('[5]2013-2016 Projects'!$D$4:$D$202="Water",'[5]2013-2016 Projects'!$V$4:$V$202,0))</f>
        <v>#REF!</v>
      </c>
      <c r="E105" s="181" t="e">
        <f t="array" ref="E105">SUM(IF('[5]2013-2016 Projects'!$D$4:$D$202="Water",'[5]2013-2016 Projects'!$V$4:$V$202,0))</f>
        <v>#REF!</v>
      </c>
      <c r="F105" s="181" t="e">
        <f t="array" ref="F105">SUM(IF('[5]2013-2016 Projects'!$D$4:$D$202="Water",'[5]2013-2016 Projects'!$V$4:$V$202,0))</f>
        <v>#REF!</v>
      </c>
      <c r="G105" s="181"/>
      <c r="H105" s="145">
        <f t="array" ref="H105">SUM(IF('2014-2017 Projects'!$I$5:$I$158="Water",'2014-2017 Projects'!$AK$5:$AK$158,0))</f>
        <v>97688726</v>
      </c>
      <c r="I105" s="145">
        <f t="array" ref="I105">SUM(IF('2014-2017 Projects'!$I$5:$I$158="Water",'2014-2017 Projects'!$AL$5:$AL$158,0))</f>
        <v>0</v>
      </c>
      <c r="J105" s="145">
        <f t="array" ref="J105">SUM(IF('2014-2017 Projects'!$I$5:$I$158="Water",'2014-2017 Projects'!$AN$5:$AN$158,0))</f>
        <v>0</v>
      </c>
      <c r="K105" s="145">
        <f t="array" ref="K105">SUM(IF('2014-2017 Projects'!$I$5:$I$158="Water",'2014-2017 Projects'!$AK$5:$AK$158,0))</f>
        <v>97688726</v>
      </c>
      <c r="L105" s="145">
        <f t="array" ref="L105">SUM(IF('2014-2017 Projects'!$I$5:$I$158="Water",'2014-2017 Projects'!$AK$5:$AK$158,0))</f>
        <v>97688726</v>
      </c>
      <c r="M105" s="145">
        <f t="array" ref="M105">SUM(IF('2014-2017 Projects'!$I$5:$I$158="Water",'2014-2017 Projects'!$AK$5:$AK$158,0))</f>
        <v>97688726</v>
      </c>
      <c r="N105" s="145">
        <f t="array" ref="N105">SUM(IF('2014-2017 Projects'!$I$5:$I$158="Water",'2014-2017 Projects'!$AK$5:$AK$158,0))</f>
        <v>97688726</v>
      </c>
      <c r="O105" s="145">
        <f t="array" ref="O105">SUM(IF('2014-2017 Projects'!$I$5:$I$158="Water",'2014-2017 Projects'!$AK$5:$AK$158,0))</f>
        <v>97688726</v>
      </c>
      <c r="P105" s="145">
        <f t="array" ref="P105">SUM(IF('2014-2017 Projects'!$I$5:$I$158="Water",'2014-2017 Projects'!$AK$5:$AK$158,0))</f>
        <v>97688726</v>
      </c>
      <c r="Q105" s="145">
        <f t="array" ref="Q105">SUM(IF('2014-2017 Projects'!$I$5:$I$158="Water",'2014-2017 Projects'!$AK$5:$AK$158,0))</f>
        <v>97688726</v>
      </c>
      <c r="R105" s="145">
        <f t="array" ref="R105">SUM(IF('2014-2017 Projects'!$I$5:$I$158="Water",'2014-2017 Projects'!$AK$5:$AK$158,0))</f>
        <v>97688726</v>
      </c>
      <c r="S105" s="145">
        <f t="array" ref="S105">SUM(IF('2014-2017 Projects'!$I$5:$I$158="Water",'2014-2017 Projects'!$AK$5:$AK$158,0))</f>
        <v>97688726</v>
      </c>
      <c r="T105" s="145">
        <f t="array" ref="T105">SUM(IF('2014-2017 Projects'!$I$5:$I$158="Water",'2014-2017 Projects'!$AK$5:$AK$158,0))</f>
        <v>97688726</v>
      </c>
      <c r="U105" s="145">
        <f t="array" ref="U105">SUM(IF('2014-2017 Projects'!$I$5:$I$158="Water",'2014-2017 Projects'!$AK$5:$AK$158,0))</f>
        <v>97688726</v>
      </c>
      <c r="V105" s="145">
        <f t="array" ref="V105">SUM(IF('2014-2017 Projects'!$I$5:$I$158="Water",'2014-2017 Projects'!$AK$5:$AK$158,0))</f>
        <v>97688726</v>
      </c>
      <c r="W105" s="145">
        <f t="array" ref="W105">SUM(IF('2014-2017 Projects'!$I$5:$I$158="Water",'2014-2017 Projects'!$AK$5:$AK$158,0))</f>
        <v>97688726</v>
      </c>
      <c r="X105" s="145">
        <f t="array" ref="X105">SUM(IF('2014-2017 Projects'!$I$5:$I$158="Water",'2014-2017 Projects'!$AK$5:$AK$158,0))</f>
        <v>97688726</v>
      </c>
      <c r="Y105" s="145">
        <f t="array" ref="Y105">SUM(IF('2014-2017 Projects'!$I$5:$I$158="Water",'2014-2017 Projects'!$AK$5:$AK$158,0))</f>
        <v>97688726</v>
      </c>
      <c r="Z105" s="145">
        <f t="array" ref="Z105">SUM(IF('2014-2017 Projects'!$I$5:$I$158="Water",'2014-2017 Projects'!$AK$5:$AK$158,0))</f>
        <v>97688726</v>
      </c>
      <c r="AA105" s="145">
        <f t="array" ref="AA105">SUM(IF('2014-2017 Projects'!$I$5:$I$158="Water",'2014-2017 Projects'!$AK$5:$AK$158,0))</f>
        <v>97688726</v>
      </c>
      <c r="AB105" s="145">
        <f t="array" ref="AB105">SUM(IF('2014-2017 Projects'!$I$5:$I$158="Water",'2014-2017 Projects'!$AK$5:$AK$158,0))</f>
        <v>97688726</v>
      </c>
      <c r="AC105" s="145">
        <f t="array" ref="AC105">SUM(IF('2014-2017 Projects'!$I$5:$I$158="Water",'2014-2017 Projects'!$AK$5:$AK$158,0))</f>
        <v>97688726</v>
      </c>
      <c r="AD105" s="145">
        <f t="array" ref="AD105">SUM(IF('2014-2017 Projects'!$I$5:$I$158="Water",'2014-2017 Projects'!$AK$5:$AK$158,0))</f>
        <v>97688726</v>
      </c>
      <c r="AE105" s="145">
        <f t="array" ref="AE105">SUM(IF('2014-2017 Projects'!$I$5:$I$158="Water",'2014-2017 Projects'!$AK$5:$AK$158,0))</f>
        <v>97688726</v>
      </c>
      <c r="AF105" s="145">
        <f t="array" ref="AF105">SUM(IF('2014-2017 Projects'!$I$5:$I$158="Water",'2014-2017 Projects'!$AK$5:$AK$158,0))</f>
        <v>97688726</v>
      </c>
      <c r="AG105" s="145">
        <f t="array" ref="AG105">SUM(IF('2014-2017 Projects'!$I$5:$I$158="Water",'2014-2017 Projects'!$BW$5:$BW$158,0))</f>
        <v>0</v>
      </c>
      <c r="AH105" s="145">
        <f t="array" ref="AH105">SUM(IF('2014-2017 Projects'!$I$5:$I$158="Water",'2014-2017 Projects'!$BX$5:$BX$158,0))</f>
        <v>0</v>
      </c>
      <c r="AI105" s="145">
        <f t="array" ref="AI105">SUM(IF('2014-2017 Projects'!$I$5:$I$158="Water",'2014-2017 Projects'!$BV$5:$BV$158,0))</f>
        <v>291989.95</v>
      </c>
      <c r="AJ105" s="145">
        <f t="shared" si="69"/>
        <v>97688726</v>
      </c>
      <c r="AK105" s="145">
        <f t="shared" si="70"/>
        <v>97688726</v>
      </c>
      <c r="AL105" s="468">
        <f t="shared" si="71"/>
        <v>0</v>
      </c>
      <c r="AM105" s="468">
        <f t="shared" si="72"/>
        <v>0</v>
      </c>
      <c r="AN105" s="181">
        <f t="array" ref="AN105">SUM(IF('2014-2017 Projects'!$I$5:$I$158="Water",'2014-2017 Projects'!$CE$5:$CE$158,0))</f>
        <v>91000000</v>
      </c>
      <c r="AO105" s="181">
        <f t="array" ref="AO105">SUM(IF('2014-2017 Projects'!$I$5:$I$158="Water",'2014-2017 Projects'!$CF$5:$CF$158,0))</f>
        <v>91000000</v>
      </c>
    </row>
    <row r="106" spans="1:49" ht="13.5">
      <c r="A106" s="180" t="s">
        <v>329</v>
      </c>
      <c r="B106" s="181" t="e">
        <f t="array" ref="B106">SUM(IF('[5]2013-2016 Projects'!$D$4:$D$202="Waste water management",'[5]2013-2016 Projects'!$V$4:$V$202,0))</f>
        <v>#REF!</v>
      </c>
      <c r="C106" s="181" t="e">
        <f t="array" ref="C106">SUM(IF('[5]2013-2016 Projects'!$D$4:$D$202="Waste water management",'[5]2013-2016 Projects'!$V$4:$V$202,0))</f>
        <v>#REF!</v>
      </c>
      <c r="D106" s="181" t="e">
        <f t="array" ref="D106">SUM(IF('[5]2013-2016 Projects'!$D$4:$D$202="Waste water management",'[5]2013-2016 Projects'!$V$4:$V$202,0))</f>
        <v>#REF!</v>
      </c>
      <c r="E106" s="181" t="e">
        <f t="array" ref="E106">SUM(IF('[5]2013-2016 Projects'!$D$4:$D$202="Waste water management",'[5]2013-2016 Projects'!$V$4:$V$202,0))</f>
        <v>#REF!</v>
      </c>
      <c r="F106" s="181" t="e">
        <f t="array" ref="F106">SUM(IF('[5]2013-2016 Projects'!$D$4:$D$202="Waste water management",'[5]2013-2016 Projects'!$V$4:$V$202,0))</f>
        <v>#REF!</v>
      </c>
      <c r="G106" s="181"/>
      <c r="H106" s="145">
        <f t="array" ref="H106">SUM(IF('2014-2017 Projects'!$I$5:$I$158="Waste water management",'2014-2017 Projects'!$AK$5:$AK$158,0))</f>
        <v>216507892</v>
      </c>
      <c r="I106" s="145">
        <f t="array" ref="I106">SUM(IF('2014-2017 Projects'!$I$5:$I$158="Waste water management",'2014-2017 Projects'!$AL$5:$AL$158,0))</f>
        <v>-199830.90999999997</v>
      </c>
      <c r="J106" s="145">
        <f t="array" ref="J106">SUM(IF('2014-2017 Projects'!$I$5:$I$158="Waste water management",'2014-2017 Projects'!$AN$5:$AN$158,0))</f>
        <v>-199830.90999999997</v>
      </c>
      <c r="K106" s="145">
        <f t="array" ref="K106">SUM(IF('2014-2017 Projects'!$I$5:$I$158="Waste water management",'2014-2017 Projects'!$AK$5:$AK$158,0))</f>
        <v>216507892</v>
      </c>
      <c r="L106" s="145">
        <f t="array" ref="L106">SUM(IF('2014-2017 Projects'!$I$5:$I$158="Waste water management",'2014-2017 Projects'!$AK$5:$AK$158,0))</f>
        <v>216507892</v>
      </c>
      <c r="M106" s="145">
        <f t="array" ref="M106">SUM(IF('2014-2017 Projects'!$I$5:$I$158="Waste water management",'2014-2017 Projects'!$AK$5:$AK$158,0))</f>
        <v>216507892</v>
      </c>
      <c r="N106" s="145">
        <f t="array" ref="N106">SUM(IF('2014-2017 Projects'!$I$5:$I$158="Waste water management",'2014-2017 Projects'!$AK$5:$AK$158,0))</f>
        <v>216507892</v>
      </c>
      <c r="O106" s="145">
        <f t="array" ref="O106">SUM(IF('2014-2017 Projects'!$I$5:$I$158="Waste water management",'2014-2017 Projects'!$AK$5:$AK$158,0))</f>
        <v>216507892</v>
      </c>
      <c r="P106" s="145">
        <f t="array" ref="P106">SUM(IF('2014-2017 Projects'!$I$5:$I$158="Waste water management",'2014-2017 Projects'!$AK$5:$AK$158,0))</f>
        <v>216507892</v>
      </c>
      <c r="Q106" s="145">
        <f t="array" ref="Q106">SUM(IF('2014-2017 Projects'!$I$5:$I$158="Waste water management",'2014-2017 Projects'!$AK$5:$AK$158,0))</f>
        <v>216507892</v>
      </c>
      <c r="R106" s="145">
        <f t="array" ref="R106">SUM(IF('2014-2017 Projects'!$I$5:$I$158="Waste water management",'2014-2017 Projects'!$AK$5:$AK$158,0))</f>
        <v>216507892</v>
      </c>
      <c r="S106" s="145">
        <f t="array" ref="S106">SUM(IF('2014-2017 Projects'!$I$5:$I$158="Waste water management",'2014-2017 Projects'!$AK$5:$AK$158,0))</f>
        <v>216507892</v>
      </c>
      <c r="T106" s="145">
        <f t="array" ref="T106">SUM(IF('2014-2017 Projects'!$I$5:$I$158="Waste water management",'2014-2017 Projects'!$AK$5:$AK$158,0))</f>
        <v>216507892</v>
      </c>
      <c r="U106" s="145">
        <f t="array" ref="U106">SUM(IF('2014-2017 Projects'!$I$5:$I$158="Waste water management",'2014-2017 Projects'!$AK$5:$AK$158,0))</f>
        <v>216507892</v>
      </c>
      <c r="V106" s="145">
        <f t="array" ref="V106">SUM(IF('2014-2017 Projects'!$I$5:$I$158="Waste water management",'2014-2017 Projects'!$AK$5:$AK$158,0))</f>
        <v>216507892</v>
      </c>
      <c r="W106" s="145">
        <f t="array" ref="W106">SUM(IF('2014-2017 Projects'!$I$5:$I$158="Waste water management",'2014-2017 Projects'!$AK$5:$AK$158,0))</f>
        <v>216507892</v>
      </c>
      <c r="X106" s="145">
        <f t="array" ref="X106">SUM(IF('2014-2017 Projects'!$I$5:$I$158="Waste water management",'2014-2017 Projects'!$AK$5:$AK$158,0))</f>
        <v>216507892</v>
      </c>
      <c r="Y106" s="145">
        <f t="array" ref="Y106">SUM(IF('2014-2017 Projects'!$I$5:$I$158="Waste water management",'2014-2017 Projects'!$AK$5:$AK$158,0))</f>
        <v>216507892</v>
      </c>
      <c r="Z106" s="145">
        <f t="array" ref="Z106">SUM(IF('2014-2017 Projects'!$I$5:$I$158="Waste water management",'2014-2017 Projects'!$AK$5:$AK$158,0))</f>
        <v>216507892</v>
      </c>
      <c r="AA106" s="145">
        <f t="array" ref="AA106">SUM(IF('2014-2017 Projects'!$I$5:$I$158="Waste water management",'2014-2017 Projects'!$AK$5:$AK$158,0))</f>
        <v>216507892</v>
      </c>
      <c r="AB106" s="145">
        <f t="array" ref="AB106">SUM(IF('2014-2017 Projects'!$I$5:$I$158="Waste water management",'2014-2017 Projects'!$AK$5:$AK$158,0))</f>
        <v>216507892</v>
      </c>
      <c r="AC106" s="145">
        <f t="array" ref="AC106">SUM(IF('2014-2017 Projects'!$I$5:$I$158="Waste water management",'2014-2017 Projects'!$AK$5:$AK$158,0))</f>
        <v>216507892</v>
      </c>
      <c r="AD106" s="145">
        <f t="array" ref="AD106">SUM(IF('2014-2017 Projects'!$I$5:$I$158="Waste water management",'2014-2017 Projects'!$AK$5:$AK$158,0))</f>
        <v>216507892</v>
      </c>
      <c r="AE106" s="145">
        <f t="array" ref="AE106">SUM(IF('2014-2017 Projects'!$I$5:$I$158="Waste water management",'2014-2017 Projects'!$AK$5:$AK$158,0))</f>
        <v>216507892</v>
      </c>
      <c r="AF106" s="145">
        <f t="array" ref="AF106">SUM(IF('2014-2017 Projects'!$I$5:$I$158="Waste water management",'2014-2017 Projects'!$AK$5:$AK$158,0))</f>
        <v>216507892</v>
      </c>
      <c r="AG106" s="145">
        <f t="array" ref="AG106">SUM(IF('2014-2017 Projects'!$I$5:$I$158="Waste water management",'2014-2017 Projects'!$BW$5:$BW$158,0))</f>
        <v>-199830.90999999997</v>
      </c>
      <c r="AH106" s="145">
        <f t="array" ref="AH106">SUM(IF('2014-2017 Projects'!$I$5:$I$158="Waste water management",'2014-2017 Projects'!$BX$5:$BX$158,0))</f>
        <v>-199830.90999999997</v>
      </c>
      <c r="AI106" s="145">
        <f t="array" ref="AI106">SUM(IF('2014-2017 Projects'!$I$5:$I$158="Waste water management",'2014-2017 Projects'!$BV$5:$BV$158,0))</f>
        <v>398437.45</v>
      </c>
      <c r="AJ106" s="145">
        <f t="shared" si="69"/>
        <v>216707722.91</v>
      </c>
      <c r="AK106" s="145">
        <f t="shared" si="70"/>
        <v>216707722.91</v>
      </c>
      <c r="AL106" s="468">
        <f t="shared" si="71"/>
        <v>-9.2297286788973023E-4</v>
      </c>
      <c r="AM106" s="468">
        <f t="shared" si="72"/>
        <v>-9.2297286788973023E-4</v>
      </c>
      <c r="AN106" s="181">
        <f t="array" ref="AN106">SUM(IF('2014-2017 Projects'!$I$5:$I$158="Waste water management",'2014-2017 Projects'!$CE$5:$CE$158,0))</f>
        <v>230000000</v>
      </c>
      <c r="AO106" s="181">
        <f t="array" ref="AO106">SUM(IF('2014-2017 Projects'!$I$5:$I$158="Waste water management",'2014-2017 Projects'!$CF$5:$CF$158,0))</f>
        <v>137000000</v>
      </c>
    </row>
    <row r="107" spans="1:49" ht="13.5">
      <c r="A107" s="180" t="s">
        <v>330</v>
      </c>
      <c r="B107" s="181" t="e">
        <f t="array" ref="B107">SUM(IF('[5]2013-2016 Projects'!$D$4:$D$202="Waste management",'[5]2013-2016 Projects'!$V$4:$V$202,0))</f>
        <v>#REF!</v>
      </c>
      <c r="C107" s="181" t="e">
        <f t="array" ref="C107">SUM(IF('[5]2013-2016 Projects'!$D$4:$D$202="Waste management",'[5]2013-2016 Projects'!$V$4:$V$202,0))</f>
        <v>#REF!</v>
      </c>
      <c r="D107" s="181" t="e">
        <f t="array" ref="D107">SUM(IF('[5]2013-2016 Projects'!$D$4:$D$202="Waste management",'[5]2013-2016 Projects'!$V$4:$V$202,0))</f>
        <v>#REF!</v>
      </c>
      <c r="E107" s="181" t="e">
        <f t="array" ref="E107">SUM(IF('[5]2013-2016 Projects'!$D$4:$D$202="Waste management",'[5]2013-2016 Projects'!$V$4:$V$202,0))</f>
        <v>#REF!</v>
      </c>
      <c r="F107" s="181" t="e">
        <f t="array" ref="F107">SUM(IF('[5]2013-2016 Projects'!$D$4:$D$202="Waste management",'[5]2013-2016 Projects'!$V$4:$V$202,0))</f>
        <v>#REF!</v>
      </c>
      <c r="G107" s="181"/>
      <c r="H107" s="145">
        <f t="array" ref="H107">SUM(IF('2014-2017 Projects'!$I$5:$I$158="Waste Management",'2014-2017 Projects'!$AK$5:$AK$158,0))</f>
        <v>36000000</v>
      </c>
      <c r="I107" s="145">
        <f t="array" ref="I107">SUM(IF('2014-2017 Projects'!$I$5:$I$158="Waste Management",'2014-2017 Projects'!$AL$5:$AL$158,0))</f>
        <v>0</v>
      </c>
      <c r="J107" s="145">
        <f t="array" ref="J107">SUM(IF('2014-2017 Projects'!$I$5:$I$158="Waste Management",'2014-2017 Projects'!$AN$5:$AN$158,0))</f>
        <v>0</v>
      </c>
      <c r="K107" s="145">
        <f t="array" ref="K107">SUM(IF('2014-2017 Projects'!$I$5:$I$158="Waste Management",'2014-2017 Projects'!$AK$5:$AK$158,0))</f>
        <v>36000000</v>
      </c>
      <c r="L107" s="145">
        <f t="array" ref="L107">SUM(IF('2014-2017 Projects'!$I$5:$I$158="Waste Management",'2014-2017 Projects'!$AK$5:$AK$158,0))</f>
        <v>36000000</v>
      </c>
      <c r="M107" s="145">
        <f t="array" ref="M107">SUM(IF('2014-2017 Projects'!$I$5:$I$158="Waste Management",'2014-2017 Projects'!$AK$5:$AK$158,0))</f>
        <v>36000000</v>
      </c>
      <c r="N107" s="145">
        <f t="array" ref="N107">SUM(IF('2014-2017 Projects'!$I$5:$I$158="Waste Management",'2014-2017 Projects'!$AK$5:$AK$158,0))</f>
        <v>36000000</v>
      </c>
      <c r="O107" s="145">
        <f t="array" ref="O107">SUM(IF('2014-2017 Projects'!$I$5:$I$158="Waste Management",'2014-2017 Projects'!$AK$5:$AK$158,0))</f>
        <v>36000000</v>
      </c>
      <c r="P107" s="145">
        <f t="array" ref="P107">SUM(IF('2014-2017 Projects'!$I$5:$I$158="Waste Management",'2014-2017 Projects'!$AK$5:$AK$158,0))</f>
        <v>36000000</v>
      </c>
      <c r="Q107" s="145">
        <f t="array" ref="Q107">SUM(IF('2014-2017 Projects'!$I$5:$I$158="Waste Management",'2014-2017 Projects'!$AK$5:$AK$158,0))</f>
        <v>36000000</v>
      </c>
      <c r="R107" s="145">
        <f t="array" ref="R107">SUM(IF('2014-2017 Projects'!$I$5:$I$158="Waste Management",'2014-2017 Projects'!$AK$5:$AK$158,0))</f>
        <v>36000000</v>
      </c>
      <c r="S107" s="145">
        <f t="array" ref="S107">SUM(IF('2014-2017 Projects'!$I$5:$I$158="Waste Management",'2014-2017 Projects'!$AK$5:$AK$158,0))</f>
        <v>36000000</v>
      </c>
      <c r="T107" s="145">
        <f t="array" ref="T107">SUM(IF('2014-2017 Projects'!$I$5:$I$158="Waste Management",'2014-2017 Projects'!$AK$5:$AK$158,0))</f>
        <v>36000000</v>
      </c>
      <c r="U107" s="145">
        <f t="array" ref="U107">SUM(IF('2014-2017 Projects'!$I$5:$I$158="Waste Management",'2014-2017 Projects'!$AK$5:$AK$158,0))</f>
        <v>36000000</v>
      </c>
      <c r="V107" s="145">
        <f t="array" ref="V107">SUM(IF('2014-2017 Projects'!$I$5:$I$158="Waste Management",'2014-2017 Projects'!$AK$5:$AK$158,0))</f>
        <v>36000000</v>
      </c>
      <c r="W107" s="145">
        <f t="array" ref="W107">SUM(IF('2014-2017 Projects'!$I$5:$I$158="Waste Management",'2014-2017 Projects'!$AK$5:$AK$158,0))</f>
        <v>36000000</v>
      </c>
      <c r="X107" s="145">
        <f t="array" ref="X107">SUM(IF('2014-2017 Projects'!$I$5:$I$158="Waste Management",'2014-2017 Projects'!$AK$5:$AK$158,0))</f>
        <v>36000000</v>
      </c>
      <c r="Y107" s="145">
        <f t="array" ref="Y107">SUM(IF('2014-2017 Projects'!$I$5:$I$158="Waste Management",'2014-2017 Projects'!$AK$5:$AK$158,0))</f>
        <v>36000000</v>
      </c>
      <c r="Z107" s="145">
        <f t="array" ref="Z107">SUM(IF('2014-2017 Projects'!$I$5:$I$158="Waste Management",'2014-2017 Projects'!$AK$5:$AK$158,0))</f>
        <v>36000000</v>
      </c>
      <c r="AA107" s="145">
        <f t="array" ref="AA107">SUM(IF('2014-2017 Projects'!$I$5:$I$158="Waste Management",'2014-2017 Projects'!$AK$5:$AK$158,0))</f>
        <v>36000000</v>
      </c>
      <c r="AB107" s="145">
        <f t="array" ref="AB107">SUM(IF('2014-2017 Projects'!$I$5:$I$158="Waste Management",'2014-2017 Projects'!$AK$5:$AK$158,0))</f>
        <v>36000000</v>
      </c>
      <c r="AC107" s="145">
        <f t="array" ref="AC107">SUM(IF('2014-2017 Projects'!$I$5:$I$158="Waste Management",'2014-2017 Projects'!$AK$5:$AK$158,0))</f>
        <v>36000000</v>
      </c>
      <c r="AD107" s="145">
        <f t="array" ref="AD107">SUM(IF('2014-2017 Projects'!$I$5:$I$158="Waste Management",'2014-2017 Projects'!$AK$5:$AK$158,0))</f>
        <v>36000000</v>
      </c>
      <c r="AE107" s="145">
        <f t="array" ref="AE107">SUM(IF('2014-2017 Projects'!$I$5:$I$158="Waste Management",'2014-2017 Projects'!$AK$5:$AK$158,0))</f>
        <v>36000000</v>
      </c>
      <c r="AF107" s="145">
        <f t="array" ref="AF107">SUM(IF('2014-2017 Projects'!$I$5:$I$158="Waste Management",'2014-2017 Projects'!$AK$5:$AK$158,0))</f>
        <v>36000000</v>
      </c>
      <c r="AG107" s="145">
        <f t="array" ref="AG107">SUM(IF('2014-2017 Projects'!$I$5:$I$158="Waste Management",'2014-2017 Projects'!$BW$5:$BW$158,0))</f>
        <v>0</v>
      </c>
      <c r="AH107" s="145">
        <f t="array" ref="AH107">SUM(IF('2014-2017 Projects'!$I$5:$I$158="Waste Management",'2014-2017 Projects'!$BX$5:$BX$158,0))</f>
        <v>0</v>
      </c>
      <c r="AI107" s="145">
        <f t="array" ref="AI107">SUM(IF('2014-2017 Projects'!$I$5:$I$158="Waste Management",'2014-2017 Projects'!$BV$5:$BV$158,0))</f>
        <v>645222.42000000004</v>
      </c>
      <c r="AJ107" s="145">
        <f t="shared" si="69"/>
        <v>36000000</v>
      </c>
      <c r="AK107" s="145">
        <f t="shared" si="70"/>
        <v>36000000</v>
      </c>
      <c r="AL107" s="468">
        <f t="shared" si="71"/>
        <v>0</v>
      </c>
      <c r="AM107" s="468">
        <f t="shared" si="72"/>
        <v>0</v>
      </c>
      <c r="AN107" s="181">
        <f t="array" ref="AN107">SUM(IF('2014-2017 Projects'!$I$5:$I$158="Waste Management",'2014-2017 Projects'!$CE$5:$CE$158,0))</f>
        <v>36710100</v>
      </c>
      <c r="AO107" s="181">
        <f t="array" ref="AO107">SUM(IF('2014-2017 Projects'!$I$5:$I$158="Waste Management",'2014-2017 Projects'!$CF$5:$CF$158,0))</f>
        <v>30412415</v>
      </c>
    </row>
    <row r="108" spans="1:49" s="482" customFormat="1" ht="13.5">
      <c r="A108" s="178" t="s">
        <v>36</v>
      </c>
      <c r="B108" s="485" t="e">
        <f t="array" ref="B108">SUM(IF('[5]2013-2016 Projects'!$D$4:$D$202="Other",'[5]2013-2016 Projects'!$V$4:$V$202,0))</f>
        <v>#REF!</v>
      </c>
      <c r="C108" s="485" t="e">
        <f t="array" ref="C108">SUM(IF('[5]2013-2016 Projects'!$D$4:$D$202="Other",'[5]2013-2016 Projects'!$V$4:$V$202,0))</f>
        <v>#REF!</v>
      </c>
      <c r="D108" s="485" t="e">
        <f t="array" ref="D108">SUM(IF('[5]2013-2016 Projects'!$D$4:$D$202="Other",'[5]2013-2016 Projects'!$V$4:$V$202,0))</f>
        <v>#REF!</v>
      </c>
      <c r="E108" s="485" t="e">
        <f t="array" ref="E108">SUM(IF('[5]2013-2016 Projects'!$D$4:$D$202="Other",'[5]2013-2016 Projects'!$V$4:$V$202,0))</f>
        <v>#REF!</v>
      </c>
      <c r="F108" s="485" t="e">
        <f t="array" ref="F108">SUM(IF('[5]2013-2016 Projects'!$D$4:$D$202="Other",'[5]2013-2016 Projects'!$V$4:$V$202,0))</f>
        <v>#REF!</v>
      </c>
      <c r="G108" s="485"/>
      <c r="H108" s="481">
        <f t="array" ref="H108">SUM(IF('2014-2017 Projects'!$I$5:$I$158="Other",'2014-2017 Projects'!$AK$5:$AK$158,0))</f>
        <v>500000</v>
      </c>
      <c r="I108" s="481">
        <f t="array" ref="I108">SUM(IF('2014-2017 Projects'!$I$5:$I$158="Other",'2014-2017 Projects'!$AL$5:$AL$158,0))</f>
        <v>0</v>
      </c>
      <c r="J108" s="481">
        <f t="array" ref="J108">SUM(IF('2014-2017 Projects'!$I$5:$I$158="Other",'2014-2017 Projects'!$AN$5:$AN$158,0))</f>
        <v>0</v>
      </c>
      <c r="K108" s="481">
        <f t="array" ref="K108">SUM(IF('2014-2017 Projects'!$I$5:$I$158="Other",'2014-2017 Projects'!$AK$5:$AK$158,0))</f>
        <v>500000</v>
      </c>
      <c r="L108" s="481">
        <f t="array" ref="L108">SUM(IF('2014-2017 Projects'!$I$5:$I$158="Other",'2014-2017 Projects'!$AK$5:$AK$158,0))</f>
        <v>500000</v>
      </c>
      <c r="M108" s="481">
        <f t="array" ref="M108">SUM(IF('2014-2017 Projects'!$I$5:$I$158="Other",'2014-2017 Projects'!$AK$5:$AK$158,0))</f>
        <v>500000</v>
      </c>
      <c r="N108" s="481">
        <f t="array" ref="N108">SUM(IF('2014-2017 Projects'!$I$5:$I$158="Other",'2014-2017 Projects'!$AK$5:$AK$158,0))</f>
        <v>500000</v>
      </c>
      <c r="O108" s="481">
        <f t="array" ref="O108">SUM(IF('2014-2017 Projects'!$I$5:$I$158="Other",'2014-2017 Projects'!$AK$5:$AK$158,0))</f>
        <v>500000</v>
      </c>
      <c r="P108" s="481">
        <f t="array" ref="P108">SUM(IF('2014-2017 Projects'!$I$5:$I$158="Other",'2014-2017 Projects'!$AK$5:$AK$158,0))</f>
        <v>500000</v>
      </c>
      <c r="Q108" s="481">
        <f t="array" ref="Q108">SUM(IF('2014-2017 Projects'!$I$5:$I$158="Other",'2014-2017 Projects'!$AK$5:$AK$158,0))</f>
        <v>500000</v>
      </c>
      <c r="R108" s="481">
        <f t="array" ref="R108">SUM(IF('2014-2017 Projects'!$I$5:$I$158="Other",'2014-2017 Projects'!$AK$5:$AK$158,0))</f>
        <v>500000</v>
      </c>
      <c r="S108" s="481">
        <f t="array" ref="S108">SUM(IF('2014-2017 Projects'!$I$5:$I$158="Other",'2014-2017 Projects'!$AK$5:$AK$158,0))</f>
        <v>500000</v>
      </c>
      <c r="T108" s="481">
        <f t="array" ref="T108">SUM(IF('2014-2017 Projects'!$I$5:$I$158="Other",'2014-2017 Projects'!$AK$5:$AK$158,0))</f>
        <v>500000</v>
      </c>
      <c r="U108" s="481">
        <f t="array" ref="U108">SUM(IF('2014-2017 Projects'!$I$5:$I$158="Other",'2014-2017 Projects'!$AK$5:$AK$158,0))</f>
        <v>500000</v>
      </c>
      <c r="V108" s="481">
        <f t="array" ref="V108">SUM(IF('2014-2017 Projects'!$I$5:$I$158="Other",'2014-2017 Projects'!$AK$5:$AK$158,0))</f>
        <v>500000</v>
      </c>
      <c r="W108" s="481">
        <f t="array" ref="W108">SUM(IF('2014-2017 Projects'!$I$5:$I$158="Other",'2014-2017 Projects'!$AK$5:$AK$158,0))</f>
        <v>500000</v>
      </c>
      <c r="X108" s="481">
        <f t="array" ref="X108">SUM(IF('2014-2017 Projects'!$I$5:$I$158="Other",'2014-2017 Projects'!$AK$5:$AK$158,0))</f>
        <v>500000</v>
      </c>
      <c r="Y108" s="481">
        <f t="array" ref="Y108">SUM(IF('2014-2017 Projects'!$I$5:$I$158="Other",'2014-2017 Projects'!$AK$5:$AK$158,0))</f>
        <v>500000</v>
      </c>
      <c r="Z108" s="481">
        <f t="array" ref="Z108">SUM(IF('2014-2017 Projects'!$I$5:$I$158="Other",'2014-2017 Projects'!$AK$5:$AK$158,0))</f>
        <v>500000</v>
      </c>
      <c r="AA108" s="481">
        <f t="array" ref="AA108">SUM(IF('2014-2017 Projects'!$I$5:$I$158="Other",'2014-2017 Projects'!$AK$5:$AK$158,0))</f>
        <v>500000</v>
      </c>
      <c r="AB108" s="481">
        <f t="array" ref="AB108">SUM(IF('2014-2017 Projects'!$I$5:$I$158="Other",'2014-2017 Projects'!$AK$5:$AK$158,0))</f>
        <v>500000</v>
      </c>
      <c r="AC108" s="481">
        <f t="array" ref="AC108">SUM(IF('2014-2017 Projects'!$I$5:$I$158="Other",'2014-2017 Projects'!$AK$5:$AK$158,0))</f>
        <v>500000</v>
      </c>
      <c r="AD108" s="481">
        <f t="array" ref="AD108">SUM(IF('2014-2017 Projects'!$I$5:$I$158="Other",'2014-2017 Projects'!$AK$5:$AK$158,0))</f>
        <v>500000</v>
      </c>
      <c r="AE108" s="481">
        <f t="array" ref="AE108">SUM(IF('2014-2017 Projects'!$I$5:$I$158="Other",'2014-2017 Projects'!$AK$5:$AK$158,0))</f>
        <v>500000</v>
      </c>
      <c r="AF108" s="481">
        <f t="array" ref="AF108">SUM(IF('2014-2017 Projects'!$I$5:$I$158="Other",'2014-2017 Projects'!$AK$5:$AK$158,0))</f>
        <v>500000</v>
      </c>
      <c r="AG108" s="481">
        <f t="array" ref="AG108">SUM(IF('2014-2017 Projects'!$I$5:$I$158="Other",'2014-2017 Projects'!$BW$5:$BW$158,0))</f>
        <v>0</v>
      </c>
      <c r="AH108" s="481">
        <f t="array" ref="AH108">SUM(IF('2014-2017 Projects'!$I$5:$I$158="Other",'2014-2017 Projects'!$BX$5:$BX$158,0))</f>
        <v>0</v>
      </c>
      <c r="AI108" s="481">
        <f t="array" ref="AI108">SUM(IF('2014-2017 Projects'!$I$5:$I$158="Other",'2014-2017 Projects'!$BV$5:$BV$158,0))</f>
        <v>0</v>
      </c>
      <c r="AJ108" s="481">
        <f t="shared" si="69"/>
        <v>500000</v>
      </c>
      <c r="AK108" s="481">
        <f t="shared" si="70"/>
        <v>500000</v>
      </c>
      <c r="AL108" s="486">
        <f t="shared" si="71"/>
        <v>0</v>
      </c>
      <c r="AM108" s="486">
        <f t="shared" si="72"/>
        <v>0</v>
      </c>
      <c r="AN108" s="485">
        <f t="array" ref="AN108">SUM(IF('2014-2017 Projects'!$I$5:$I$158="Other",'2014-2017 Projects'!$CE$5:$CE$158,0))</f>
        <v>500000</v>
      </c>
      <c r="AO108" s="485">
        <f t="array" ref="AO108">SUM(IF('2014-2017 Projects'!$I$5:$I$158="Other",'2014-2017 Projects'!$CF$5:$CF$158,0))</f>
        <v>500000</v>
      </c>
      <c r="AP108" s="142"/>
      <c r="AR108" s="483"/>
      <c r="AS108" s="483"/>
      <c r="AT108" s="484"/>
      <c r="AU108" s="484"/>
      <c r="AV108" s="484"/>
    </row>
    <row r="109" spans="1:49" s="482" customFormat="1" ht="13.5">
      <c r="A109" s="183" t="s">
        <v>331</v>
      </c>
      <c r="B109" s="184" t="e">
        <f>B89+B93+B99+B103+B108</f>
        <v>#REF!</v>
      </c>
      <c r="C109" s="184" t="e">
        <f>C89+C93+C99+C103+C108</f>
        <v>#REF!</v>
      </c>
      <c r="D109" s="184" t="e">
        <f>D89+D93+D99+D103+D108</f>
        <v>#REF!</v>
      </c>
      <c r="E109" s="184" t="e">
        <f>E89+E93+E99+E103+E108</f>
        <v>#REF!</v>
      </c>
      <c r="F109" s="184" t="e">
        <f>F89+F93+F99+F103+F108</f>
        <v>#REF!</v>
      </c>
      <c r="G109" s="184"/>
      <c r="H109" s="481">
        <f>H89+H93+H99+H103+H108</f>
        <v>942007423</v>
      </c>
      <c r="I109" s="481">
        <f t="shared" ref="I109:AK109" si="76">I89+I93+I99+I103+I108</f>
        <v>4279296.1500000004</v>
      </c>
      <c r="J109" s="481">
        <f t="shared" si="76"/>
        <v>4583715.4000000004</v>
      </c>
      <c r="K109" s="481">
        <f t="shared" si="76"/>
        <v>942007423</v>
      </c>
      <c r="L109" s="481">
        <f t="shared" si="76"/>
        <v>942007423</v>
      </c>
      <c r="M109" s="481">
        <f t="shared" si="76"/>
        <v>942007423</v>
      </c>
      <c r="N109" s="481">
        <f t="shared" si="76"/>
        <v>942007423</v>
      </c>
      <c r="O109" s="481">
        <f t="shared" si="76"/>
        <v>942007423</v>
      </c>
      <c r="P109" s="481">
        <f t="shared" si="76"/>
        <v>942007423</v>
      </c>
      <c r="Q109" s="481">
        <f t="shared" si="76"/>
        <v>942007423</v>
      </c>
      <c r="R109" s="481">
        <f t="shared" si="76"/>
        <v>942007423</v>
      </c>
      <c r="S109" s="481">
        <f t="shared" si="76"/>
        <v>942007423</v>
      </c>
      <c r="T109" s="481">
        <f t="shared" si="76"/>
        <v>942007423</v>
      </c>
      <c r="U109" s="481">
        <f t="shared" si="76"/>
        <v>942007423</v>
      </c>
      <c r="V109" s="481">
        <f t="shared" si="76"/>
        <v>942007423</v>
      </c>
      <c r="W109" s="481">
        <f t="shared" si="76"/>
        <v>942007423</v>
      </c>
      <c r="X109" s="481">
        <f t="shared" si="76"/>
        <v>942007423</v>
      </c>
      <c r="Y109" s="481">
        <f t="shared" si="76"/>
        <v>942007423</v>
      </c>
      <c r="Z109" s="481">
        <f t="shared" si="76"/>
        <v>942007423</v>
      </c>
      <c r="AA109" s="481">
        <f t="shared" si="76"/>
        <v>942007423</v>
      </c>
      <c r="AB109" s="481">
        <f t="shared" si="76"/>
        <v>942007423</v>
      </c>
      <c r="AC109" s="481">
        <f t="shared" si="76"/>
        <v>942007423</v>
      </c>
      <c r="AD109" s="481">
        <f t="shared" si="76"/>
        <v>942007423</v>
      </c>
      <c r="AE109" s="481">
        <f t="shared" si="76"/>
        <v>942007423</v>
      </c>
      <c r="AF109" s="481">
        <f t="shared" si="76"/>
        <v>942007423</v>
      </c>
      <c r="AG109" s="481">
        <f t="shared" si="76"/>
        <v>4279296.1500000004</v>
      </c>
      <c r="AH109" s="481">
        <f t="shared" si="76"/>
        <v>4583715.4000000004</v>
      </c>
      <c r="AI109" s="481">
        <f t="shared" si="76"/>
        <v>5180679.37</v>
      </c>
      <c r="AJ109" s="481">
        <f t="shared" si="76"/>
        <v>937728126.85000002</v>
      </c>
      <c r="AK109" s="481">
        <f t="shared" si="76"/>
        <v>937423707.60000002</v>
      </c>
      <c r="AL109" s="487">
        <f>AG109/H109</f>
        <v>4.5427414323039794E-3</v>
      </c>
      <c r="AM109" s="487">
        <f>AH109/H109</f>
        <v>4.8659015715633068E-3</v>
      </c>
      <c r="AN109" s="184">
        <f>AN89+AN93+AN99+AN103+AN108</f>
        <v>1024127261</v>
      </c>
      <c r="AO109" s="184">
        <f>AO89+AO93+AO99+AO103+AO108</f>
        <v>1069226151</v>
      </c>
      <c r="AP109" s="142"/>
      <c r="AR109" s="483"/>
      <c r="AS109" s="483"/>
      <c r="AT109" s="484"/>
      <c r="AU109" s="484"/>
      <c r="AV109" s="484"/>
    </row>
    <row r="110" spans="1:49" s="134" customFormat="1">
      <c r="A110" s="157"/>
      <c r="B110" s="158"/>
      <c r="C110" s="158"/>
      <c r="D110" s="158"/>
      <c r="E110" s="158"/>
      <c r="F110" s="286"/>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456"/>
      <c r="AM110" s="456"/>
      <c r="AN110" s="158"/>
      <c r="AO110" s="158"/>
      <c r="AP110" s="158"/>
      <c r="AQ110" s="158"/>
      <c r="AR110" s="158"/>
      <c r="AS110" s="316"/>
      <c r="AT110" s="333"/>
      <c r="AU110" s="333"/>
      <c r="AV110" s="333"/>
      <c r="AW110" s="156"/>
    </row>
    <row r="111" spans="1:49" s="134" customFormat="1">
      <c r="A111" s="157"/>
      <c r="B111" s="158"/>
      <c r="C111" s="158"/>
      <c r="D111" s="158"/>
      <c r="E111" s="158"/>
      <c r="F111" s="286"/>
      <c r="G111" s="158"/>
      <c r="H111" s="158">
        <v>942007423</v>
      </c>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456"/>
      <c r="AM111" s="456"/>
      <c r="AN111" s="158"/>
      <c r="AO111" s="158"/>
      <c r="AP111" s="158"/>
      <c r="AQ111" s="158"/>
      <c r="AR111" s="158"/>
      <c r="AS111" s="316"/>
      <c r="AT111" s="333"/>
      <c r="AU111" s="333"/>
      <c r="AV111" s="333"/>
      <c r="AW111" s="156"/>
    </row>
    <row r="112" spans="1:49" s="134" customFormat="1">
      <c r="A112" s="157"/>
      <c r="B112" s="158"/>
      <c r="C112" s="158"/>
      <c r="D112" s="158"/>
      <c r="E112" s="158"/>
      <c r="F112" s="286"/>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456"/>
      <c r="AM112" s="456"/>
      <c r="AN112" s="158"/>
      <c r="AO112" s="158"/>
      <c r="AP112" s="158"/>
      <c r="AQ112" s="158"/>
      <c r="AR112" s="158"/>
      <c r="AS112" s="316"/>
      <c r="AT112" s="333"/>
      <c r="AU112" s="333"/>
      <c r="AV112" s="333"/>
      <c r="AW112" s="156"/>
    </row>
    <row r="113" spans="1:49" s="134" customFormat="1">
      <c r="A113" s="157"/>
      <c r="B113" s="158"/>
      <c r="C113" s="158"/>
      <c r="D113" s="158"/>
      <c r="E113" s="158"/>
      <c r="F113" s="286"/>
      <c r="G113" s="158"/>
      <c r="H113" s="332">
        <f>H111-H109</f>
        <v>0</v>
      </c>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456"/>
      <c r="AM113" s="456"/>
      <c r="AN113" s="158"/>
      <c r="AO113" s="158"/>
      <c r="AP113" s="158"/>
      <c r="AQ113" s="158"/>
      <c r="AR113" s="158"/>
      <c r="AS113" s="316"/>
      <c r="AT113" s="333"/>
      <c r="AU113" s="333"/>
      <c r="AV113" s="333"/>
      <c r="AW113" s="156"/>
    </row>
    <row r="114" spans="1:49" s="134" customFormat="1">
      <c r="A114" s="157"/>
      <c r="B114" s="158"/>
      <c r="C114" s="158"/>
      <c r="D114" s="158"/>
      <c r="E114" s="158"/>
      <c r="F114" s="286"/>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456"/>
      <c r="AM114" s="456"/>
      <c r="AN114" s="158"/>
      <c r="AO114" s="158"/>
      <c r="AP114" s="158"/>
      <c r="AQ114" s="158"/>
      <c r="AR114" s="158"/>
      <c r="AS114" s="316"/>
      <c r="AT114" s="333"/>
      <c r="AU114" s="333"/>
      <c r="AV114" s="333"/>
      <c r="AW114" s="156"/>
    </row>
    <row r="115" spans="1:49" s="134" customFormat="1">
      <c r="A115" s="157"/>
      <c r="B115" s="158"/>
      <c r="C115" s="158"/>
      <c r="D115" s="158"/>
      <c r="E115" s="158"/>
      <c r="F115" s="286"/>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456"/>
      <c r="AM115" s="456"/>
      <c r="AN115" s="158"/>
      <c r="AO115" s="158"/>
      <c r="AP115" s="158"/>
      <c r="AQ115" s="158"/>
      <c r="AR115" s="158"/>
      <c r="AS115" s="316"/>
      <c r="AT115" s="333"/>
      <c r="AU115" s="333"/>
      <c r="AV115" s="333"/>
      <c r="AW115" s="156"/>
    </row>
    <row r="116" spans="1:49" s="134" customFormat="1">
      <c r="A116" s="157"/>
      <c r="B116" s="158"/>
      <c r="C116" s="158"/>
      <c r="D116" s="158"/>
      <c r="E116" s="158"/>
      <c r="F116" s="286"/>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456"/>
      <c r="AM116" s="456"/>
      <c r="AN116" s="158"/>
      <c r="AO116" s="158"/>
      <c r="AP116" s="158"/>
      <c r="AQ116" s="158"/>
      <c r="AR116" s="158"/>
      <c r="AS116" s="316"/>
      <c r="AT116" s="333"/>
      <c r="AU116" s="333"/>
      <c r="AV116" s="333"/>
      <c r="AW116" s="156"/>
    </row>
    <row r="117" spans="1:49" s="134" customFormat="1">
      <c r="A117" s="157"/>
      <c r="B117" s="158"/>
      <c r="C117" s="158"/>
      <c r="D117" s="158"/>
      <c r="E117" s="158"/>
      <c r="F117" s="286"/>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456"/>
      <c r="AM117" s="456"/>
      <c r="AN117" s="158"/>
      <c r="AO117" s="158"/>
      <c r="AP117" s="158"/>
      <c r="AQ117" s="158"/>
      <c r="AR117" s="158"/>
      <c r="AS117" s="316"/>
      <c r="AT117" s="333"/>
      <c r="AU117" s="333"/>
      <c r="AV117" s="333"/>
      <c r="AW117" s="156"/>
    </row>
    <row r="118" spans="1:49" s="134" customFormat="1">
      <c r="A118" s="157"/>
      <c r="B118" s="158"/>
      <c r="C118" s="158"/>
      <c r="D118" s="158"/>
      <c r="E118" s="158"/>
      <c r="F118" s="286"/>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456"/>
      <c r="AM118" s="456"/>
      <c r="AN118" s="158"/>
      <c r="AO118" s="158"/>
      <c r="AP118" s="158"/>
      <c r="AQ118" s="158"/>
      <c r="AR118" s="158"/>
      <c r="AS118" s="316"/>
      <c r="AT118" s="333"/>
      <c r="AU118" s="333"/>
      <c r="AV118" s="333"/>
      <c r="AW118" s="156"/>
    </row>
    <row r="119" spans="1:49" s="134" customFormat="1">
      <c r="A119" s="157"/>
      <c r="B119" s="158"/>
      <c r="C119" s="158"/>
      <c r="D119" s="158"/>
      <c r="E119" s="158"/>
      <c r="F119" s="286"/>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456"/>
      <c r="AM119" s="456"/>
      <c r="AN119" s="158"/>
      <c r="AO119" s="158"/>
      <c r="AP119" s="158"/>
      <c r="AQ119" s="158"/>
      <c r="AR119" s="158"/>
      <c r="AS119" s="316"/>
      <c r="AT119" s="333"/>
      <c r="AU119" s="333"/>
      <c r="AV119" s="333"/>
      <c r="AW119" s="156"/>
    </row>
    <row r="120" spans="1:49" s="134" customFormat="1">
      <c r="A120" s="157"/>
      <c r="B120" s="158"/>
      <c r="C120" s="158"/>
      <c r="D120" s="158"/>
      <c r="E120" s="158"/>
      <c r="F120" s="286"/>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456"/>
      <c r="AM120" s="456"/>
      <c r="AN120" s="158"/>
      <c r="AO120" s="158"/>
      <c r="AP120" s="158"/>
      <c r="AQ120" s="158"/>
      <c r="AR120" s="158"/>
      <c r="AS120" s="316"/>
      <c r="AT120" s="333"/>
      <c r="AU120" s="333"/>
      <c r="AV120" s="333"/>
      <c r="AW120" s="156"/>
    </row>
    <row r="121" spans="1:49" s="134" customFormat="1">
      <c r="A121" s="157"/>
      <c r="B121" s="158"/>
      <c r="C121" s="158"/>
      <c r="D121" s="158"/>
      <c r="E121" s="158"/>
      <c r="F121" s="286"/>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456"/>
      <c r="AM121" s="456"/>
      <c r="AN121" s="158"/>
      <c r="AO121" s="158"/>
      <c r="AP121" s="158"/>
      <c r="AQ121" s="158"/>
      <c r="AR121" s="158"/>
      <c r="AS121" s="316"/>
      <c r="AT121" s="333"/>
      <c r="AU121" s="333"/>
      <c r="AV121" s="333"/>
      <c r="AW121" s="156"/>
    </row>
    <row r="122" spans="1:49" s="134" customFormat="1">
      <c r="A122" s="157"/>
      <c r="B122" s="158"/>
      <c r="C122" s="158"/>
      <c r="D122" s="158"/>
      <c r="E122" s="158"/>
      <c r="F122" s="286"/>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456"/>
      <c r="AM122" s="456"/>
      <c r="AN122" s="158"/>
      <c r="AO122" s="158"/>
      <c r="AP122" s="158"/>
      <c r="AQ122" s="158"/>
      <c r="AR122" s="158"/>
      <c r="AS122" s="316"/>
      <c r="AT122" s="333"/>
      <c r="AU122" s="333"/>
      <c r="AV122" s="333"/>
      <c r="AW122" s="156"/>
    </row>
    <row r="123" spans="1:49" s="134" customFormat="1">
      <c r="A123" s="157"/>
      <c r="B123" s="158"/>
      <c r="C123" s="158"/>
      <c r="D123" s="158"/>
      <c r="E123" s="158"/>
      <c r="F123" s="286"/>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456"/>
      <c r="AM123" s="456"/>
      <c r="AN123" s="158"/>
      <c r="AO123" s="158"/>
      <c r="AP123" s="158"/>
      <c r="AQ123" s="158"/>
      <c r="AR123" s="158"/>
      <c r="AS123" s="316"/>
      <c r="AT123" s="333"/>
      <c r="AU123" s="333"/>
      <c r="AV123" s="333"/>
      <c r="AW123" s="156"/>
    </row>
    <row r="124" spans="1:49" s="134" customFormat="1">
      <c r="A124" s="157"/>
      <c r="B124" s="158"/>
      <c r="C124" s="158"/>
      <c r="D124" s="158"/>
      <c r="E124" s="158"/>
      <c r="F124" s="286"/>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t="s">
        <v>423</v>
      </c>
      <c r="AQ124" s="332"/>
      <c r="AR124" s="316"/>
      <c r="AS124" s="316"/>
      <c r="AT124" s="333">
        <v>673289000</v>
      </c>
      <c r="AU124" s="333">
        <v>700458000</v>
      </c>
      <c r="AV124" s="333">
        <v>743775000</v>
      </c>
      <c r="AW124" s="156"/>
    </row>
    <row r="125" spans="1:49" s="134" customFormat="1" ht="13.5" thickBot="1">
      <c r="A125" s="157"/>
      <c r="B125" s="158"/>
      <c r="C125" s="158"/>
      <c r="D125" s="158"/>
      <c r="E125" s="158"/>
      <c r="F125" s="286"/>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332" t="s">
        <v>430</v>
      </c>
      <c r="AQ125" s="332"/>
      <c r="AR125" s="316"/>
      <c r="AS125" s="316"/>
      <c r="AT125" s="334">
        <f>+AT124-AT16</f>
        <v>0</v>
      </c>
      <c r="AU125" s="334">
        <f>+AU124-AU16</f>
        <v>0</v>
      </c>
      <c r="AV125" s="334">
        <f>+AV124-AV16</f>
        <v>0</v>
      </c>
      <c r="AW125" s="335" t="s">
        <v>499</v>
      </c>
    </row>
    <row r="126" spans="1:49" s="146" customFormat="1" ht="13.5" thickTop="1">
      <c r="A126" s="157"/>
      <c r="B126" s="158"/>
      <c r="C126" s="158"/>
      <c r="D126" s="158"/>
      <c r="E126" s="158"/>
      <c r="F126" s="286"/>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Q126" s="158"/>
      <c r="AR126" s="143"/>
      <c r="AS126" s="143"/>
      <c r="AT126" s="290"/>
      <c r="AU126" s="290"/>
      <c r="AV126" s="290"/>
      <c r="AW126" s="287"/>
    </row>
    <row r="127" spans="1:49" s="289" customFormat="1" ht="12" hidden="1">
      <c r="A127" s="296"/>
      <c r="B127" s="246"/>
      <c r="C127" s="246"/>
      <c r="D127" s="246"/>
      <c r="E127" s="297">
        <v>189271546</v>
      </c>
      <c r="F127" s="297"/>
      <c r="G127" s="297">
        <f>+F11</f>
        <v>220735570</v>
      </c>
      <c r="H127" s="288">
        <v>667025500</v>
      </c>
      <c r="I127" s="288"/>
      <c r="J127" s="288"/>
      <c r="K127" s="288"/>
      <c r="L127" s="288"/>
      <c r="M127" s="288"/>
      <c r="N127" s="288"/>
      <c r="O127" s="288"/>
      <c r="P127" s="288"/>
      <c r="Q127" s="288"/>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46">
        <v>690810100</v>
      </c>
      <c r="AO127" s="246"/>
      <c r="AQ127" s="246"/>
      <c r="AT127" s="290"/>
      <c r="AU127" s="290"/>
      <c r="AV127" s="290"/>
      <c r="AW127" s="291"/>
    </row>
    <row r="128" spans="1:49" s="290" customFormat="1" ht="12" hidden="1">
      <c r="A128" s="298"/>
      <c r="B128" s="295"/>
      <c r="C128" s="295"/>
      <c r="D128" s="295"/>
      <c r="E128" s="299"/>
      <c r="F128" s="299"/>
      <c r="G128" s="299">
        <v>21156250</v>
      </c>
      <c r="H128" s="290">
        <v>31264500</v>
      </c>
      <c r="AN128" s="295">
        <v>32147900</v>
      </c>
      <c r="AO128" s="295"/>
      <c r="AQ128" s="295"/>
      <c r="AW128" s="293"/>
    </row>
    <row r="129" spans="1:49" s="290" customFormat="1" hidden="1" thickBot="1">
      <c r="A129" s="292"/>
      <c r="B129" s="159"/>
      <c r="C129" s="159"/>
      <c r="D129" s="159"/>
      <c r="E129" s="294">
        <f>SUM(E127:E128)</f>
        <v>189271546</v>
      </c>
      <c r="F129" s="294">
        <f>SUM(F127:F128)</f>
        <v>0</v>
      </c>
      <c r="G129" s="294">
        <f>SUM(G127:G128)</f>
        <v>241891820</v>
      </c>
      <c r="H129" s="294">
        <f>SUM(H127:H128)</f>
        <v>698290000</v>
      </c>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f>SUM(AN127:AN128)</f>
        <v>722958000</v>
      </c>
      <c r="AO129" s="159"/>
      <c r="AQ129" s="159"/>
      <c r="AW129" s="293"/>
    </row>
    <row r="130" spans="1:49" s="290" customFormat="1" ht="12" hidden="1">
      <c r="A130" s="292"/>
      <c r="B130" s="159"/>
      <c r="C130" s="159"/>
      <c r="D130" s="159"/>
      <c r="E130" s="295">
        <v>176071546</v>
      </c>
      <c r="F130" s="295"/>
      <c r="G130" s="295">
        <v>613305000</v>
      </c>
      <c r="H130" s="290">
        <v>698290000</v>
      </c>
      <c r="AN130" s="295">
        <v>722958000</v>
      </c>
      <c r="AO130" s="159"/>
      <c r="AQ130" s="159"/>
      <c r="AW130" s="293"/>
    </row>
    <row r="131" spans="1:49" s="290" customFormat="1" ht="12" hidden="1">
      <c r="A131" s="292"/>
      <c r="B131" s="159"/>
      <c r="C131" s="159"/>
      <c r="D131" s="159"/>
      <c r="E131" s="295">
        <v>803061</v>
      </c>
      <c r="F131" s="295"/>
      <c r="G131" s="295">
        <f>+G130-G129</f>
        <v>371413180</v>
      </c>
      <c r="H131" s="306">
        <f>+H130-H129</f>
        <v>0</v>
      </c>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5">
        <f>+AN130-AN129</f>
        <v>0</v>
      </c>
      <c r="AO131" s="159"/>
      <c r="AQ131" s="159"/>
      <c r="AW131" s="293"/>
    </row>
    <row r="132" spans="1:49" s="290" customFormat="1" ht="12" hidden="1">
      <c r="A132" s="292"/>
      <c r="B132" s="159"/>
      <c r="C132" s="159"/>
      <c r="D132" s="159"/>
      <c r="E132" s="295">
        <f>+E127-E130-E131</f>
        <v>12396939</v>
      </c>
      <c r="F132" s="295"/>
      <c r="G132" s="295"/>
      <c r="AN132" s="295"/>
      <c r="AO132" s="159"/>
      <c r="AQ132" s="159"/>
      <c r="AW132" s="293"/>
    </row>
    <row r="133" spans="1:49" s="290" customFormat="1" ht="12" hidden="1">
      <c r="A133" s="292"/>
      <c r="B133" s="159"/>
      <c r="C133" s="159"/>
      <c r="D133" s="159"/>
      <c r="E133" s="295"/>
      <c r="F133" s="295"/>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60"/>
      <c r="AQ133" s="160"/>
    </row>
    <row r="134" spans="1:49" s="134" customFormat="1" hidden="1">
      <c r="A134" s="161"/>
      <c r="B134" s="162"/>
      <c r="C134" s="162"/>
      <c r="D134" s="163"/>
      <c r="E134" s="163"/>
      <c r="F134" s="163"/>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Q134" s="161"/>
      <c r="AR134" s="143"/>
      <c r="AS134" s="143"/>
      <c r="AT134" s="290"/>
      <c r="AU134" s="290"/>
      <c r="AV134" s="290"/>
    </row>
    <row r="135" spans="1:49" s="134" customFormat="1">
      <c r="A135" s="129" t="s">
        <v>455</v>
      </c>
      <c r="B135" s="168"/>
      <c r="C135" s="168"/>
      <c r="D135" s="169"/>
      <c r="E135" s="169"/>
      <c r="F135" s="169"/>
      <c r="G135" s="264"/>
      <c r="H135" s="264"/>
      <c r="I135" s="264"/>
      <c r="J135" s="264"/>
      <c r="K135" s="264"/>
      <c r="L135" s="264"/>
      <c r="M135" s="264"/>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264"/>
      <c r="AL135" s="264"/>
      <c r="AM135" s="264"/>
      <c r="AN135" s="264"/>
      <c r="AO135" s="264"/>
      <c r="AQ135" s="164"/>
      <c r="AR135" s="143"/>
      <c r="AS135" s="143"/>
      <c r="AT135" s="290"/>
      <c r="AU135" s="290"/>
      <c r="AV135" s="290"/>
    </row>
    <row r="136" spans="1:49" s="134" customFormat="1" ht="72">
      <c r="A136" s="165" t="s">
        <v>10</v>
      </c>
      <c r="B136" s="139" t="s">
        <v>298</v>
      </c>
      <c r="C136" s="139" t="s">
        <v>299</v>
      </c>
      <c r="D136" s="139" t="s">
        <v>300</v>
      </c>
      <c r="E136" s="139" t="s">
        <v>291</v>
      </c>
      <c r="F136" s="139" t="s">
        <v>292</v>
      </c>
      <c r="G136" s="141" t="s">
        <v>301</v>
      </c>
      <c r="H136" s="141" t="s">
        <v>616</v>
      </c>
      <c r="I136" s="452" t="s">
        <v>589</v>
      </c>
      <c r="J136" s="452" t="s">
        <v>590</v>
      </c>
      <c r="K136" s="452" t="s">
        <v>592</v>
      </c>
      <c r="L136" s="452" t="s">
        <v>593</v>
      </c>
      <c r="M136" s="452" t="s">
        <v>594</v>
      </c>
      <c r="N136" s="452" t="s">
        <v>595</v>
      </c>
      <c r="O136" s="452" t="s">
        <v>596</v>
      </c>
      <c r="P136" s="452" t="s">
        <v>597</v>
      </c>
      <c r="Q136" s="452" t="s">
        <v>598</v>
      </c>
      <c r="R136" s="452" t="s">
        <v>599</v>
      </c>
      <c r="S136" s="452" t="s">
        <v>600</v>
      </c>
      <c r="T136" s="452" t="s">
        <v>601</v>
      </c>
      <c r="U136" s="452" t="s">
        <v>603</v>
      </c>
      <c r="V136" s="452" t="s">
        <v>604</v>
      </c>
      <c r="W136" s="452" t="s">
        <v>605</v>
      </c>
      <c r="X136" s="452" t="s">
        <v>606</v>
      </c>
      <c r="Y136" s="452" t="s">
        <v>607</v>
      </c>
      <c r="Z136" s="452" t="s">
        <v>608</v>
      </c>
      <c r="AA136" s="452" t="s">
        <v>610</v>
      </c>
      <c r="AB136" s="452" t="s">
        <v>609</v>
      </c>
      <c r="AC136" s="452" t="s">
        <v>611</v>
      </c>
      <c r="AD136" s="452" t="s">
        <v>612</v>
      </c>
      <c r="AE136" s="452" t="s">
        <v>613</v>
      </c>
      <c r="AF136" s="452" t="s">
        <v>614</v>
      </c>
      <c r="AG136" s="452" t="s">
        <v>203</v>
      </c>
      <c r="AH136" s="452" t="s">
        <v>618</v>
      </c>
      <c r="AI136" s="452" t="s">
        <v>220</v>
      </c>
      <c r="AJ136" s="452" t="s">
        <v>619</v>
      </c>
      <c r="AK136" s="452" t="s">
        <v>620</v>
      </c>
      <c r="AL136" s="452" t="s">
        <v>621</v>
      </c>
      <c r="AM136" s="452" t="s">
        <v>622</v>
      </c>
      <c r="AN136" s="140" t="s">
        <v>302</v>
      </c>
      <c r="AO136" s="140" t="s">
        <v>411</v>
      </c>
      <c r="AQ136" s="140" t="s">
        <v>411</v>
      </c>
      <c r="AR136" s="143"/>
      <c r="AS136" s="143"/>
      <c r="AT136" s="290"/>
      <c r="AU136" s="290"/>
      <c r="AV136" s="290"/>
    </row>
    <row r="137" spans="1:49" s="134" customFormat="1">
      <c r="A137" s="144" t="s">
        <v>314</v>
      </c>
      <c r="B137" s="145">
        <f t="array" ref="B137">SUM(IF('2014-2017 Projects'!$A$6:$A$198="Executive Support Services",'2014-2017 Projects'!$AG$6:$AG$198,0))</f>
        <v>0</v>
      </c>
      <c r="C137" s="145">
        <f t="array" ref="C137">SUM(IF('2014-2017 Projects'!$A$6:$A$198="Executive Support Services",'2014-2017 Projects'!$AG$6:$AG$198,0))</f>
        <v>0</v>
      </c>
      <c r="D137" s="145">
        <f t="array" ref="D137">SUM(IF('2014-2017 Projects'!$A$6:$A$198="Executive Support Services",'2014-2017 Projects'!$AG$6:$AG$198,0))</f>
        <v>0</v>
      </c>
      <c r="E137" s="145">
        <f t="array" ref="E137">SUM(IF('2014-2017 Projects'!$A$6:$A$198="Executive Support Services",'2014-2017 Projects'!$AH$6:$AH$198,0))</f>
        <v>0</v>
      </c>
      <c r="F137" s="145">
        <f t="array" ref="F137">SUM(IF('2014-2017 Projects'!$A$6:$A$198="Executive Support Services",'2014-2017 Projects'!$AI$6:$AI$198,0))</f>
        <v>0</v>
      </c>
      <c r="G137" s="145">
        <f t="array" ref="G137">SUM(IF('2014-2017 Projects'!$A$6:$A$198="Executive Support Services",'2014-2017 Projects'!$AG$6:$AG$198,0))</f>
        <v>0</v>
      </c>
      <c r="H137" s="145">
        <f t="array" ref="H137">SUM(IF('2014-2017 Projects'!$A$6:$A$155="Executive Support Services",'2014-2017 Projects'!$AK$6:$AK$155,0))</f>
        <v>500000</v>
      </c>
      <c r="I137" s="145">
        <f t="array" ref="I137">SUM(IF('2014-2017 Projects'!$A$6:$A$155="Executive Support Services",'2014-2017 Projects'!$AL$6:$AL$155,0))</f>
        <v>0</v>
      </c>
      <c r="J137" s="145">
        <f t="array" ref="J137">SUM(IF('2014-2017 Projects'!$A$6:$A$155="Executive Support Services",'2014-2017 Projects'!$AN$6:$AN$155,0))</f>
        <v>0</v>
      </c>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f t="array" ref="AG137">SUM(IF('2014-2017 Projects'!$A$6:$A$155="Executive Support Services",'2014-2017 Projects'!$BW$6:$BW$155,0))</f>
        <v>0</v>
      </c>
      <c r="AH137" s="145">
        <f t="array" ref="AH137">SUM(IF('2014-2017 Projects'!$A$6:$A$155="Executive Support Services",'2014-2017 Projects'!$BX$6:$BX$155,0))</f>
        <v>0</v>
      </c>
      <c r="AI137" s="145">
        <f t="array" ref="AI137">SUM(IF('2014-2017 Projects'!$A$6:$A$155="Executive Support Services",'2014-2017 Projects'!$BV$6:$BV$155,0))</f>
        <v>0</v>
      </c>
      <c r="AJ137" s="145">
        <f>H137-AG137</f>
        <v>500000</v>
      </c>
      <c r="AK137" s="145">
        <f>H137-AH137</f>
        <v>500000</v>
      </c>
      <c r="AL137" s="453">
        <f t="shared" ref="AL137" si="77">AG137/H137</f>
        <v>0</v>
      </c>
      <c r="AM137" s="453">
        <f t="shared" ref="AM137" si="78">AH137/H137</f>
        <v>0</v>
      </c>
      <c r="AN137" s="145">
        <f t="array" ref="AN137">SUM(IF('2014-2017 Projects'!$A$6:$A$155="Executive Support Services",'2014-2017 Projects'!$CE$6:$CE$155,0))</f>
        <v>500000</v>
      </c>
      <c r="AO137" s="145">
        <f t="array" ref="AO137">SUM(IF('2014-2017 Projects'!$A$6:$A$155="Executive Support Services",'2014-2017 Projects'!$CF$6:$CF$155,0))</f>
        <v>500000</v>
      </c>
      <c r="AQ137" s="145">
        <f t="array" ref="AQ137">SUM(IF('2014-2017 Projects'!$A$6:$A$198="Executive Support Services",'2014-2017 Projects'!$CF$6:$CF$198,0))</f>
        <v>500000</v>
      </c>
      <c r="AR137" s="143"/>
      <c r="AS137" s="143"/>
      <c r="AT137" s="290"/>
      <c r="AU137" s="290"/>
      <c r="AV137" s="290"/>
    </row>
    <row r="138" spans="1:49" s="134" customFormat="1">
      <c r="A138" s="144" t="s">
        <v>569</v>
      </c>
      <c r="B138" s="145">
        <f t="array" ref="B138">SUM(IF('2014-2017 Projects'!$A$6:$A$198="Municipal Manager's Office",'2014-2017 Projects'!$AG$6:$AG$198,0))</f>
        <v>12750000</v>
      </c>
      <c r="C138" s="145">
        <f t="array" ref="C138">SUM(IF('2014-2017 Projects'!$A$6:$A$198="Municipal Manager's Office",'2014-2017 Projects'!$AG$6:$AG$198,0))</f>
        <v>12750000</v>
      </c>
      <c r="D138" s="145">
        <f t="array" ref="D138">SUM(IF('2014-2017 Projects'!$A$6:$A$198="Municipal Manager's Office",'2014-2017 Projects'!$AG$6:$AG$198,0))</f>
        <v>12750000</v>
      </c>
      <c r="E138" s="145">
        <f t="array" ref="E138">SUM(IF('2014-2017 Projects'!$A$6:$A$198="Municipal Manager's Office",'2014-2017 Projects'!$AH$6:$AH$198,0))</f>
        <v>-10000000</v>
      </c>
      <c r="F138" s="145">
        <f t="array" ref="F138">SUM(IF('2014-2017 Projects'!$A$6:$A$198="Municipal Manager's Office",'2014-2017 Projects'!$AI$6:$AI$198,0))</f>
        <v>2750000</v>
      </c>
      <c r="G138" s="145"/>
      <c r="H138" s="145">
        <f t="array" ref="H138">SUM(IF('2014-2017 Projects'!$A$6:$A$155="Municipal Manager's Office",'2014-2017 Projects'!$AK$6:$AK$155,0))</f>
        <v>7000000</v>
      </c>
      <c r="I138" s="145">
        <f t="array" ref="I138">SUM(IF('2014-2017 Projects'!$A$6:$A$155="Municipal Manager's Office",'2014-2017 Projects'!$AL$6:$AL$155,0))</f>
        <v>0</v>
      </c>
      <c r="J138" s="145">
        <f t="array" ref="J138">SUM(IF('2014-2017 Projects'!$A$6:$A$155="Municipal Manager's Office",'2014-2017 Projects'!$AN$6:$AN$155,0))</f>
        <v>0</v>
      </c>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f t="array" ref="AG138">SUM(IF('2014-2017 Projects'!$A$6:$A$155="Municipal Manager's Office",'2014-2017 Projects'!$BW$6:$BW$155,0))</f>
        <v>0</v>
      </c>
      <c r="AH138" s="145">
        <f t="array" ref="AH138">SUM(IF('2014-2017 Projects'!$A$6:$A$155="Municipal Manager's Office",'2014-2017 Projects'!$BX$6:$BX$155,0))</f>
        <v>0</v>
      </c>
      <c r="AI138" s="145">
        <f t="array" ref="AI138">SUM(IF('2014-2017 Projects'!$A$6:$A$155="Municipal Manager's Office",'2014-2017 Projects'!$BV$6:$BV$155,0))</f>
        <v>0</v>
      </c>
      <c r="AJ138" s="145">
        <f t="shared" ref="AJ138:AJ145" si="79">H138-AG138</f>
        <v>7000000</v>
      </c>
      <c r="AK138" s="145">
        <f t="shared" ref="AK138:AK146" si="80">H138-AH138</f>
        <v>7000000</v>
      </c>
      <c r="AL138" s="453">
        <f t="shared" ref="AL138:AL147" si="81">AG138/H138</f>
        <v>0</v>
      </c>
      <c r="AM138" s="453">
        <f t="shared" ref="AM138:AM147" si="82">AH138/H138</f>
        <v>0</v>
      </c>
      <c r="AN138" s="145">
        <f t="array" ref="AN138">SUM(IF('2014-2017 Projects'!$A$6:$A$155="Municipal Manager's Office",'2014-2017 Projects'!$CE$6:$CE$155,0))</f>
        <v>18878000</v>
      </c>
      <c r="AO138" s="145">
        <f t="array" ref="AO138">SUM(IF('2014-2017 Projects'!$A$6:$A$155="Municipal Manager's Office",'2014-2017 Projects'!$CF$6:$CF$155,0))</f>
        <v>19744000</v>
      </c>
      <c r="AQ138" s="145">
        <f t="array" ref="AQ138">SUM(IF('2014-2017 Projects'!$A$6:$A$198="Municipal Manager's Office",'2014-2017 Projects'!$CF$6:$CF$198,0))</f>
        <v>19744000</v>
      </c>
      <c r="AR138" s="143"/>
      <c r="AS138" s="143"/>
      <c r="AT138" s="290"/>
      <c r="AU138" s="290">
        <v>77950000</v>
      </c>
      <c r="AV138" s="290"/>
    </row>
    <row r="139" spans="1:49" s="134" customFormat="1">
      <c r="A139" s="144" t="s">
        <v>570</v>
      </c>
      <c r="B139" s="145">
        <f t="array" ref="B139">SUM(IF('2014-2017 Projects'!$A$6:$A$177="Chief Operations Officer",'2014-2017 Projects'!$AG$6:$AG$177,0))</f>
        <v>0</v>
      </c>
      <c r="C139" s="145">
        <f t="array" ref="C139">SUM(IF('2014-2017 Projects'!$A$6:$A$177="Chief Operations Officer",'2014-2017 Projects'!$AG$6:$AG$177,0))</f>
        <v>0</v>
      </c>
      <c r="D139" s="145">
        <f t="array" ref="D139">SUM(IF('2014-2017 Projects'!$A$6:$A$177="Chief Operations Officer",'2014-2017 Projects'!$AG$6:$AG$177,0))</f>
        <v>0</v>
      </c>
      <c r="E139" s="145">
        <f t="array" ref="E139">SUM(IF('2014-2017 Projects'!$A$6:$A$177="Chief Operations Officer",'2014-2017 Projects'!$AH$6:$AH$177,0))</f>
        <v>0</v>
      </c>
      <c r="F139" s="145">
        <f t="array" ref="F139">SUM(IF('2014-2017 Projects'!$A$6:$A$177="Chief Operations Officer",'2014-2017 Projects'!$AI$6:$AI$177,0))</f>
        <v>0</v>
      </c>
      <c r="G139" s="145">
        <f t="array" ref="G139">SUM(IF('2014-2017 Projects'!$A$6:$A$177="Chief Operations Officer",'2014-2017 Projects'!$AG$6:$AG$177,0))</f>
        <v>0</v>
      </c>
      <c r="H139" s="145">
        <f t="array" ref="H139">SUM(IF('2014-2017 Projects'!$A$6:$A$155="Human Settlements",'2014-2017 Projects'!$AK$6:$AK$155,0))</f>
        <v>90136108</v>
      </c>
      <c r="I139" s="145">
        <f t="array" ref="I139">SUM(IF('2014-2017 Projects'!$A$6:$A$155="Human Settlements",'2014-2017 Projects'!$AL$6:$AL$155,0))</f>
        <v>4419423.2700000005</v>
      </c>
      <c r="J139" s="145">
        <f t="array" ref="J139">SUM(IF('2014-2017 Projects'!$A$6:$A$155="Human Settlements",'2014-2017 Projects'!$AN$6:$AN$155,0))</f>
        <v>4723842.5200000005</v>
      </c>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f t="array" ref="AG139">SUM(IF('2014-2017 Projects'!$A$6:$A$155="Human Settlements",'2014-2017 Projects'!$BW$6:$BW$155,0))</f>
        <v>4419423.2700000005</v>
      </c>
      <c r="AH139" s="145">
        <f t="array" ref="AH139">SUM(IF('2014-2017 Projects'!$A$6:$A$155="Human Settlements",'2014-2017 Projects'!$BX$6:$BX$155,0))</f>
        <v>4723842.5200000005</v>
      </c>
      <c r="AI139" s="145">
        <f t="array" ref="AI139">SUM(IF('2014-2017 Projects'!$A$6:$A$155="Human Settlements",'2014-2017 Projects'!$BV$6:$BV$155,0))</f>
        <v>19586.3</v>
      </c>
      <c r="AJ139" s="145">
        <f t="shared" si="79"/>
        <v>85716684.730000004</v>
      </c>
      <c r="AK139" s="145">
        <f t="shared" si="80"/>
        <v>85412265.480000004</v>
      </c>
      <c r="AL139" s="453">
        <f t="shared" si="81"/>
        <v>4.9030553549083797E-2</v>
      </c>
      <c r="AM139" s="453">
        <f t="shared" si="82"/>
        <v>5.2407882088718549E-2</v>
      </c>
      <c r="AN139" s="145">
        <f t="array" ref="AN139">SUM(IF('2014-2017 Projects'!$A$6:$A$155="Human Settlements",'2014-2017 Projects'!$CE$6:$CE$155,0))</f>
        <v>162968500</v>
      </c>
      <c r="AO139" s="145">
        <f t="array" ref="AO139">SUM(IF('2014-2017 Projects'!$A$6:$A$155="Human Settlements",'2014-2017 Projects'!$CF$6:$CF$155,0))</f>
        <v>266764685</v>
      </c>
      <c r="AQ139" s="145">
        <f t="array" ref="AQ139">SUM(IF('2014-2017 Projects'!$A$6:$A$177="Chief Operations Officer",'2014-2017 Projects'!$CF$6:$CF$177,0))</f>
        <v>0</v>
      </c>
      <c r="AR139" s="143"/>
      <c r="AS139" s="143"/>
      <c r="AT139" s="290"/>
      <c r="AU139" s="290">
        <v>321031108</v>
      </c>
      <c r="AV139" s="290"/>
    </row>
    <row r="140" spans="1:49" s="134" customFormat="1" ht="13.5" thickBot="1">
      <c r="A140" s="144" t="s">
        <v>571</v>
      </c>
      <c r="B140" s="145">
        <f t="array" ref="B140">SUM(IF('2014-2017 Projects'!$A$6:$A$177="Financial Services",'2014-2017 Projects'!$AG$6:$AG$177,0))</f>
        <v>0</v>
      </c>
      <c r="C140" s="145">
        <f t="array" ref="C140">SUM(IF('2014-2017 Projects'!$A$6:$A$177="Financial Services",'2014-2017 Projects'!$AG$6:$AG$177,0))</f>
        <v>0</v>
      </c>
      <c r="D140" s="145">
        <f t="array" ref="D140">SUM(IF('2014-2017 Projects'!$A$6:$A$177="Financial Services",'2014-2017 Projects'!$AG$6:$AG$177,0))</f>
        <v>0</v>
      </c>
      <c r="E140" s="145">
        <f t="array" ref="E140">SUM(IF('2014-2017 Projects'!$A$6:$A$177="Financial Services",'2014-2017 Projects'!$AH$6:$AH$177,0))</f>
        <v>0</v>
      </c>
      <c r="F140" s="145">
        <f t="array" ref="F140">SUM(IF('2014-2017 Projects'!$A$6:$A$177="Financial Services",'2014-2017 Projects'!$AI$6:$AI$177,0))</f>
        <v>0</v>
      </c>
      <c r="G140" s="145"/>
      <c r="H140" s="145">
        <f t="array" ref="H140">SUM(IF('2014-2017 Projects'!$A$6:$A$155="Financial Services",'2014-2017 Projects'!$AK$6:$AK$155,0))</f>
        <v>12350000</v>
      </c>
      <c r="I140" s="145">
        <f t="array" ref="I140">SUM(IF('2014-2017 Projects'!$A$6:$A$155="Financial Services",'2014-2017 Projects'!$AL$6:$AL$155,0))</f>
        <v>19074.32</v>
      </c>
      <c r="J140" s="145">
        <f>SUM(IF('2014-2017 Projects'!$A$6:$A$155="Financial Services",'2014-2017 Projects'!$AN$6:$AN$155,0))</f>
        <v>0</v>
      </c>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f t="array" ref="AG140">SUM(IF('2014-2017 Projects'!$A$6:$A$155="Financial Services",'2014-2017 Projects'!$BW$6:$BW$155,0))</f>
        <v>19074.32</v>
      </c>
      <c r="AH140" s="145">
        <f t="array" ref="AH140">SUM(IF('2014-2017 Projects'!$A$6:$A$155="Financial Services",'2014-2017 Projects'!$BX$6:$BX$155,0))</f>
        <v>19074.32</v>
      </c>
      <c r="AI140" s="145">
        <f t="array" ref="AI140">SUM(IF('2014-2017 Projects'!$A$6:$A$155="Financial Services",'2014-2017 Projects'!$BV$6:$BV$155,0))</f>
        <v>0</v>
      </c>
      <c r="AJ140" s="145">
        <f t="shared" si="79"/>
        <v>12330925.68</v>
      </c>
      <c r="AK140" s="145">
        <f t="shared" si="80"/>
        <v>12330925.68</v>
      </c>
      <c r="AL140" s="453">
        <f t="shared" si="81"/>
        <v>1.5444793522267205E-3</v>
      </c>
      <c r="AM140" s="453">
        <f t="shared" si="82"/>
        <v>1.5444793522267205E-3</v>
      </c>
      <c r="AN140" s="145">
        <f t="array" ref="AN140">SUM(IF('2014-2017 Projects'!$A$6:$A$155="Financial Services",'2014-2017 Projects'!$CE$6:$CE$155,0))</f>
        <v>12000000</v>
      </c>
      <c r="AO140" s="145">
        <f t="array" ref="AO140">SUM(IF('2014-2017 Projects'!$A$6:$A$155="Financial Services",'2014-2017 Projects'!$CF$6:$CF$155,0))</f>
        <v>10500000</v>
      </c>
      <c r="AQ140" s="145">
        <f t="array" ref="AQ140">SUM(IF('2014-2017 Projects'!$A$6:$A$177="Financial Services",'2014-2017 Projects'!$CF$6:$CF$177,0))</f>
        <v>10500000</v>
      </c>
      <c r="AR140" s="143"/>
      <c r="AS140" s="143"/>
      <c r="AT140" s="290"/>
      <c r="AU140" s="330">
        <f>SUM(AU138:AU139)</f>
        <v>398981108</v>
      </c>
      <c r="AV140" s="290"/>
    </row>
    <row r="141" spans="1:49" s="134" customFormat="1" ht="13.5" thickTop="1">
      <c r="A141" s="144" t="s">
        <v>572</v>
      </c>
      <c r="B141" s="145">
        <f t="array" ref="B141">SUM(IF('2014-2017 Projects'!$A$6:$A$177="Corporate Services",'2014-2017 Projects'!$AG$6:$AG$177,0))</f>
        <v>6600000</v>
      </c>
      <c r="C141" s="145">
        <f t="array" ref="C141">SUM(IF('2014-2017 Projects'!$A$6:$A$177="Corporate Services",'2014-2017 Projects'!$AG$6:$AG$177,0))</f>
        <v>6600000</v>
      </c>
      <c r="D141" s="145">
        <f t="array" ref="D141">SUM(IF('2014-2017 Projects'!$A$6:$A$177="Corporate Services",'2014-2017 Projects'!$AG$6:$AG$177,0))</f>
        <v>6600000</v>
      </c>
      <c r="E141" s="145">
        <f t="array" ref="E141">SUM(IF('2014-2017 Projects'!$A$6:$A$177="Corporate Services",'2014-2017 Projects'!$AH$6:$AH$177,0))</f>
        <v>0</v>
      </c>
      <c r="F141" s="145">
        <f t="array" ref="F141">SUM(IF('2014-2017 Projects'!$A$6:$A$177="Corporate Services",'2014-2017 Projects'!$AI$6:$AI$177,0))</f>
        <v>6600000</v>
      </c>
      <c r="G141" s="145"/>
      <c r="H141" s="145">
        <f t="array" ref="H141">SUM(IF('2014-2017 Projects'!$A$6:$A$155="Corporate Services",'2014-2017 Projects'!$AK$6:$AK$155,0))</f>
        <v>15100000</v>
      </c>
      <c r="I141" s="145">
        <f t="array" ref="I141">SUM(IF('2014-2017 Projects'!$A$6:$A$155="Corporate Services",'2014-2017 Projects'!$AL$6:$AL$155,0))</f>
        <v>0</v>
      </c>
      <c r="J141" s="145">
        <f t="array" ref="J141">SUM(IF('2014-2017 Projects'!$A$6:$A$155="Corporate Services",'2014-2017 Projects'!$AN$6:$AN$155,0))</f>
        <v>0</v>
      </c>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f t="array" ref="AG141">SUM(IF('2014-2017 Projects'!$A$6:$A$155="Corporate Services",'2014-2017 Projects'!$BW$6:$BW$155,0))</f>
        <v>0</v>
      </c>
      <c r="AH141" s="145">
        <f t="array" ref="AH141">SUM(IF('2014-2017 Projects'!$A$6:$A$155="Corporate Services",'2014-2017 Projects'!$BX$6:$BX$155,0))</f>
        <v>0</v>
      </c>
      <c r="AI141" s="145">
        <f t="array" ref="AI141">SUM(IF('2014-2017 Projects'!$A$6:$A$155="Corporate Services",'2014-2017 Projects'!$BV$6:$BV$155,0))</f>
        <v>0</v>
      </c>
      <c r="AJ141" s="145">
        <f t="shared" si="79"/>
        <v>15100000</v>
      </c>
      <c r="AK141" s="145">
        <f t="shared" si="80"/>
        <v>15100000</v>
      </c>
      <c r="AL141" s="453">
        <f t="shared" si="81"/>
        <v>0</v>
      </c>
      <c r="AM141" s="453">
        <f t="shared" si="82"/>
        <v>0</v>
      </c>
      <c r="AN141" s="145">
        <f t="array" ref="AN141">SUM(IF('2014-2017 Projects'!$A$6:$A$155="Corporate Services",'2014-2017 Projects'!$CE$6:$CE$155,0))</f>
        <v>22100000</v>
      </c>
      <c r="AO141" s="145">
        <f t="array" ref="AO141">SUM(IF('2014-2017 Projects'!$A$6:$A$155="Corporate Services",'2014-2017 Projects'!$CF$6:$CF$155,0))</f>
        <v>20200000</v>
      </c>
      <c r="AQ141" s="145">
        <f t="array" ref="AQ141">SUM(IF('2014-2017 Projects'!$A$6:$A$177="Corporate Services",'2014-2017 Projects'!$CF$6:$CF$177,0))</f>
        <v>20200000</v>
      </c>
      <c r="AR141" s="143"/>
      <c r="AS141" s="143"/>
      <c r="AT141" s="290"/>
      <c r="AU141" s="290"/>
      <c r="AV141" s="290"/>
    </row>
    <row r="142" spans="1:49" s="134" customFormat="1">
      <c r="A142" s="144" t="s">
        <v>573</v>
      </c>
      <c r="B142" s="145"/>
      <c r="C142" s="145"/>
      <c r="D142" s="145">
        <f t="array" ref="D142">SUM(IF('2014-2017 Projects'!$A$6:$A$177="Engineering Services",'2014-2017 Projects'!$AG$6:$AG$177,0))</f>
        <v>122746331.88</v>
      </c>
      <c r="E142" s="145">
        <f t="array" ref="E142">SUM(IF('2014-2017 Projects'!$A$6:$A$177="Engineering Services",'2014-2017 Projects'!$AH$6:$AH$177,0))</f>
        <v>32584305</v>
      </c>
      <c r="F142" s="145">
        <f t="array" ref="F142">SUM(IF('2014-2017 Projects'!$A$6:$A$177="Engineering Services",'2014-2017 Projects'!$AI$6:$AI$177,0))</f>
        <v>155330636.88</v>
      </c>
      <c r="G142" s="145"/>
      <c r="H142" s="145">
        <f t="array" ref="H142">SUM(IF('2014-2017 Projects'!$A$6:$A$155="Engineering Services",'2014-2017 Projects'!$AK$6:$AK$155,0))</f>
        <v>665695618</v>
      </c>
      <c r="I142" s="145">
        <f t="array" ref="I142">SUM(IF('2014-2017 Projects'!$A$6:$A$155="Engineering Services",'2014-2017 Projects'!$AL$6:$AL$155,0))</f>
        <v>-213299.06999999998</v>
      </c>
      <c r="J142" s="145">
        <f t="array" ref="J142">SUM(IF('2014-2017 Projects'!$A$6:$A$155="Engineering Services",'2014-2017 Projects'!$AN$6:$AN$155,0))</f>
        <v>-213299.06999999998</v>
      </c>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f t="array" ref="AG142">SUM(IF('2014-2017 Projects'!$A$6:$A$155="Engineering Services",'2014-2017 Projects'!$BW$6:$BW$155,0))</f>
        <v>-213299.06999999998</v>
      </c>
      <c r="AH142" s="145">
        <f t="array" ref="AH142">SUM(IF('2014-2017 Projects'!$A$6:$A$155="Engineering Services",'2014-2017 Projects'!$BX$6:$BX$155,0))</f>
        <v>-213299.06999999998</v>
      </c>
      <c r="AI142" s="145">
        <f t="array" ref="AI142">SUM(IF('2014-2017 Projects'!$A$6:$A$155="Engineering Services",'2014-2017 Projects'!$BV$6:$BV$155,0))</f>
        <v>690427.4</v>
      </c>
      <c r="AJ142" s="145">
        <f t="shared" si="79"/>
        <v>665908917.07000005</v>
      </c>
      <c r="AK142" s="145">
        <f t="shared" si="80"/>
        <v>665908917.07000005</v>
      </c>
      <c r="AL142" s="453">
        <f t="shared" si="81"/>
        <v>-3.2041531329413077E-4</v>
      </c>
      <c r="AM142" s="453">
        <f t="shared" si="82"/>
        <v>-3.2041531329413077E-4</v>
      </c>
      <c r="AN142" s="145">
        <f t="array" ref="AN142">SUM(IF('2014-2017 Projects'!$A$6:$A$155="Engineering Services",'2014-2017 Projects'!$CE$6:$CE$155,0))</f>
        <v>667000000</v>
      </c>
      <c r="AO142" s="145">
        <f t="array" ref="AO142">SUM(IF('2014-2017 Projects'!$A$6:$A$155="Engineering Services",'2014-2017 Projects'!$CF$6:$CF$155,0))</f>
        <v>575000000</v>
      </c>
      <c r="AQ142" s="145">
        <f t="array" ref="AQ142">SUM(IF('2014-2017 Projects'!$A$6:$A$177="Engineering Services",'2014-2017 Projects'!$CF$6:$CF$177,0))</f>
        <v>575000000</v>
      </c>
      <c r="AR142" s="143"/>
      <c r="AS142" s="143"/>
      <c r="AT142" s="290"/>
      <c r="AU142" s="290">
        <v>255845288</v>
      </c>
      <c r="AV142" s="290"/>
    </row>
    <row r="143" spans="1:49" s="134" customFormat="1">
      <c r="A143" s="144" t="s">
        <v>574</v>
      </c>
      <c r="B143" s="145"/>
      <c r="C143" s="145"/>
      <c r="D143" s="145">
        <f t="array" ref="D143">SUM(IF('2014-2017 Projects'!$A$6:$A$177="Directorate of Development Planning",'2014-2017 Projects'!$AG$6:$AG$177,0))</f>
        <v>12000000</v>
      </c>
      <c r="E143" s="145">
        <f t="array" ref="E143">SUM(IF('2014-2017 Projects'!$A$6:$A$177="Directorate of Development Planning",'2014-2017 Projects'!$AH$6:$AH$177,0))</f>
        <v>800000</v>
      </c>
      <c r="F143" s="145">
        <f t="array" ref="F143">SUM(IF('2014-2017 Projects'!$A$6:$A$177="Directorate of Development Planning",'2014-2017 Projects'!$AI$6:$AI$177,0))</f>
        <v>12800000</v>
      </c>
      <c r="G143" s="145">
        <f t="array" ref="G143">SUM(IF('2014-2017 Projects'!$A$6:$A$177="Directorate of Development Planning",'2014-2017 Projects'!$AG$6:$AG$177,0))</f>
        <v>12000000</v>
      </c>
      <c r="H143" s="145">
        <f t="array" ref="H143">SUM(IF('2014-2017 Projects'!$A$6:$A$155="Directorate of Development Planning",'2014-2017 Projects'!$AK$6:$AK$155,0))</f>
        <v>44895288</v>
      </c>
      <c r="I143" s="145">
        <f t="array" ref="I143">SUM(IF('2014-2017 Projects'!$A$6:$A$155="Directorate of Development Planning",'2014-2017 Projects'!$AL$6:$AL$155,0))</f>
        <v>52995</v>
      </c>
      <c r="J143" s="145">
        <f t="array" ref="J143">SUM(IF('2014-2017 Projects'!$A$6:$A$155="Directorate of Development Planning",'2014-2017 Projects'!$AN$6:$AN$155,0))</f>
        <v>52995</v>
      </c>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f t="array" ref="AG143">SUM(IF('2014-2017 Projects'!$A$6:$A$155="Directorate of Development Planning",'2014-2017 Projects'!$BW$6:$BW$155,0))</f>
        <v>52995</v>
      </c>
      <c r="AH143" s="145">
        <f t="array" ref="AH143">SUM(IF('2014-2017 Projects'!$A$6:$A$155="Directorate of Development Planning",'2014-2017 Projects'!$BX$6:$BX$155,0))</f>
        <v>52995</v>
      </c>
      <c r="AI143" s="145">
        <f t="array" ref="AI143">SUM(IF('2014-2017 Projects'!$A$6:$A$155="Directorate of Development Planning",'2014-2017 Projects'!$BV$6:$BV$155,0))</f>
        <v>3069444.75</v>
      </c>
      <c r="AJ143" s="145">
        <f t="shared" si="79"/>
        <v>44842293</v>
      </c>
      <c r="AK143" s="145">
        <f t="shared" si="80"/>
        <v>44842293</v>
      </c>
      <c r="AL143" s="453">
        <f t="shared" si="81"/>
        <v>1.1804134099774569E-3</v>
      </c>
      <c r="AM143" s="453">
        <f t="shared" si="82"/>
        <v>1.1804134099774569E-3</v>
      </c>
      <c r="AN143" s="145">
        <f t="array" ref="AN143">SUM(IF('2014-2017 Projects'!$A$6:$A$155="Directorate of Development Planning",'2014-2017 Projects'!$CE$6:$CE$155,0))</f>
        <v>42220661</v>
      </c>
      <c r="AO143" s="145">
        <f t="array" ref="AO143">SUM(IF('2014-2017 Projects'!$A$6:$A$155="Directorate of Development Planning",'2014-2017 Projects'!$CF$6:$CF$155,0))</f>
        <v>73655051</v>
      </c>
      <c r="AQ143" s="145">
        <f t="array" ref="AQ143">SUM(IF('2014-2017 Projects'!$A$6:$A$177="Directorate of Development Planning",'2014-2017 Projects'!$CF$6:$CF$177,0))</f>
        <v>156655051</v>
      </c>
      <c r="AR143" s="143"/>
      <c r="AS143" s="143"/>
      <c r="AT143" s="290"/>
      <c r="AU143" s="290">
        <v>673289000</v>
      </c>
      <c r="AV143" s="290"/>
    </row>
    <row r="144" spans="1:49" s="134" customFormat="1">
      <c r="A144" s="144" t="s">
        <v>575</v>
      </c>
      <c r="B144" s="145"/>
      <c r="C144" s="145"/>
      <c r="D144" s="145"/>
      <c r="E144" s="145"/>
      <c r="F144" s="145"/>
      <c r="G144" s="145"/>
      <c r="H144" s="145">
        <f t="array" ref="H144">SUM(IF('2014-2017 Projects'!$A$6:$A$155="Directorate of Economic Development",'2014-2017 Projects'!$AK$6:$AK$155,0))</f>
        <v>10000000</v>
      </c>
      <c r="I144" s="145">
        <f t="array" ref="I144">SUM(IF('2014-2017 Projects'!$A$6:$A$155="Directorate of Economic Development",'2014-2017 Projects'!$AL$6:$AL$155,0))</f>
        <v>0</v>
      </c>
      <c r="J144" s="145">
        <f t="array" ref="J144">SUM(IF('2014-2017 Projects'!$A$6:$A$155="Directorate of Economic Development",'2014-2017 Projects'!$AN$6:$AN$155,0))</f>
        <v>0</v>
      </c>
      <c r="K144" s="145"/>
      <c r="L144" s="145"/>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f t="array" ref="AG144">SUM(IF('2014-2017 Projects'!$A$6:$A$155="Directorate of Economic Development",'2014-2017 Projects'!$BW$6:$BW$155,0))</f>
        <v>0</v>
      </c>
      <c r="AH144" s="145">
        <f t="array" ref="AH144">SUM(IF('2014-2017 Projects'!$A$6:$A$155="Directorate of Economic Development",'2014-2017 Projects'!$BX$6:$BX$155,0))</f>
        <v>0</v>
      </c>
      <c r="AI144" s="145">
        <f t="array" ref="AI144">SUM(IF('2014-2017 Projects'!$A$6:$A$155="Directorate of Economic Development",'2014-2017 Projects'!$BV$6:$BV$155,0))</f>
        <v>0</v>
      </c>
      <c r="AJ144" s="145">
        <f t="shared" si="79"/>
        <v>10000000</v>
      </c>
      <c r="AK144" s="145">
        <f t="shared" si="80"/>
        <v>10000000</v>
      </c>
      <c r="AL144" s="453">
        <f t="shared" si="81"/>
        <v>0</v>
      </c>
      <c r="AM144" s="453">
        <f t="shared" si="82"/>
        <v>0</v>
      </c>
      <c r="AN144" s="145">
        <f t="array" ref="AN144">SUM(IF('2014-2017 Projects'!$A$6:$A$155="Directorate of Economic Development",'2014-2017 Projects'!$CE$6:$CE$155,0))</f>
        <v>10000000</v>
      </c>
      <c r="AO144" s="145">
        <f t="array" ref="AO144">SUM(IF('2014-2017 Projects'!$A$6:$A$155="Directorate of Economic Development",'2014-2017 Projects'!$CE$6:$CE$155,0))</f>
        <v>10000000</v>
      </c>
      <c r="AQ144" s="145"/>
      <c r="AR144" s="143"/>
      <c r="AS144" s="143"/>
      <c r="AT144" s="290"/>
      <c r="AU144" s="290"/>
      <c r="AV144" s="290"/>
    </row>
    <row r="145" spans="1:53" s="134" customFormat="1" ht="13.5" thickBot="1">
      <c r="A145" s="144" t="s">
        <v>576</v>
      </c>
      <c r="B145" s="145"/>
      <c r="C145" s="145"/>
      <c r="D145" s="145">
        <f t="array" ref="D145">SUM(IF('2014-2017 Projects'!$A$6:$A$177="Health and Public Safety",'2014-2017 Projects'!$AG$6:$AG$177,0))</f>
        <v>2750000</v>
      </c>
      <c r="E145" s="145">
        <f t="array" ref="E145">SUM(IF('2014-2017 Projects'!$A$6:$A$177="Health and Public Safety",'2014-2017 Projects'!$AH$6:$AH$177,0))</f>
        <v>-2000000</v>
      </c>
      <c r="F145" s="145">
        <f t="array" ref="F145">SUM(IF('2014-2017 Projects'!$A$6:$A$177="Health and Public Safety",'2014-2017 Projects'!$AI$6:$AI$177,0))</f>
        <v>750000</v>
      </c>
      <c r="G145" s="145">
        <f t="array" ref="G145">SUM(IF('2014-2017 Projects'!$A$6:$A$177="Health and Public Safety",'2014-2017 Projects'!$AG$6:$AG$177,0))</f>
        <v>2750000</v>
      </c>
      <c r="H145" s="145">
        <f t="array" ref="H145">SUM(IF('2014-2017 Projects'!$A$6:$A$155="Health and Public Safety",'2014-2017 Projects'!$AK$6:$AK$155,0))</f>
        <v>9800000</v>
      </c>
      <c r="I145" s="145">
        <f t="array" ref="I145">SUM(IF('2014-2017 Projects'!$A$6:$A$155="Health and Public Safety",'2014-2017 Projects'!$AL$6:$AL$155,0))</f>
        <v>1102.6300000000001</v>
      </c>
      <c r="J145" s="145">
        <f t="array" ref="J145">SUM(IF('2014-2017 Projects'!$A$6:$A$155="Health and Public Safety",'2014-2017 Projects'!$AN$6:$AN$155,0))</f>
        <v>1102.6300000000001</v>
      </c>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f t="array" ref="AG145">SUM(IF('2014-2017 Projects'!$A$6:$A$155="Health and Public Safety",'2014-2017 Projects'!$BW$6:$BW$155,0))</f>
        <v>1102.6300000000001</v>
      </c>
      <c r="AH145" s="145">
        <f t="array" ref="AH145">SUM(IF('2014-2017 Projects'!$A$6:$A$155="Health and Public Safety",'2014-2017 Projects'!$BX$6:$BX$155,0))</f>
        <v>1102.6300000000001</v>
      </c>
      <c r="AI145" s="145">
        <f t="array" ref="AI145">SUM(IF('2014-2017 Projects'!$A$6:$A$155="Health and Public Safety",'2014-2017 Projects'!$BV$6:$BV$155,0))</f>
        <v>0</v>
      </c>
      <c r="AJ145" s="145">
        <f t="shared" si="79"/>
        <v>9798897.3699999992</v>
      </c>
      <c r="AK145" s="145">
        <f t="shared" si="80"/>
        <v>9798897.3699999992</v>
      </c>
      <c r="AL145" s="453">
        <f t="shared" si="81"/>
        <v>1.1251326530612246E-4</v>
      </c>
      <c r="AM145" s="453">
        <f t="shared" si="82"/>
        <v>1.1251326530612246E-4</v>
      </c>
      <c r="AN145" s="145">
        <f t="array" ref="AN145">SUM(IF('2014-2017 Projects'!$A$6:$A$155="Health and Public Safety",'2014-2017 Projects'!$CE$6:$CE$155,0))</f>
        <v>12500000</v>
      </c>
      <c r="AO145" s="145">
        <f t="array" ref="AO145">SUM(IF('2014-2017 Projects'!$A$6:$A$155="Health and Public Safety",'2014-2017 Projects'!$CF$6:$CF$155,0))</f>
        <v>25200000</v>
      </c>
      <c r="AQ145" s="145">
        <f t="array" ref="AQ145">SUM(IF('2014-2017 Projects'!$A$6:$A$177="Health and Public Safety",'2014-2017 Projects'!$CF$6:$CF$177,0))</f>
        <v>25200000</v>
      </c>
      <c r="AR145" s="143"/>
      <c r="AS145" s="143"/>
      <c r="AT145" s="290"/>
      <c r="AU145" s="330">
        <f>SUM(AU142:AU143)</f>
        <v>929134288</v>
      </c>
      <c r="AV145" s="290"/>
    </row>
    <row r="146" spans="1:53" s="134" customFormat="1" ht="13.5" thickTop="1">
      <c r="A146" s="144" t="s">
        <v>577</v>
      </c>
      <c r="B146" s="145">
        <f t="array" ref="B146">SUM(IF('2014-2017 Projects'!$A$6:$A$177="Community Services",'2014-2017 Projects'!$AG$6:$AG$177,0))</f>
        <v>48080943</v>
      </c>
      <c r="C146" s="145">
        <f t="array" ref="C146">SUM(IF('2014-2017 Projects'!$A$6:$A$177="Community Services",'2014-2017 Projects'!$AG$6:$AG$177,0))</f>
        <v>48080943</v>
      </c>
      <c r="D146" s="145">
        <f t="array" ref="D146">SUM(IF('2014-2017 Projects'!$A$6:$A$177="Community Services",'2014-2017 Projects'!$AG$6:$AG$177,0))</f>
        <v>48080943</v>
      </c>
      <c r="E146" s="145">
        <f t="array" ref="E146">SUM(IF('2014-2017 Projects'!$A$6:$A$177="Community Services",'2014-2017 Projects'!$AH$6:$AH$177,0))</f>
        <v>-8384413</v>
      </c>
      <c r="F146" s="145">
        <f t="array" ref="F146">SUM(IF('2014-2017 Projects'!$A$6:$A$177="Community Services",'2014-2017 Projects'!$AI$6:$AI$177,0))</f>
        <v>39696530</v>
      </c>
      <c r="G146" s="145">
        <f t="array" ref="G146">SUM(IF('2014-2017 Projects'!$A$6:$A$177="Community Services",'2014-2017 Projects'!$AG$6:$AG$177,0))</f>
        <v>48080943</v>
      </c>
      <c r="H146" s="145">
        <f t="array" ref="H146">SUM(IF('2014-2017 Projects'!$A$6:$A$155="Community Services",'2014-2017 Projects'!$AK$6:$AK$155,0))</f>
        <v>86530409</v>
      </c>
      <c r="I146" s="145">
        <f t="array" ref="I146">SUM(IF('2014-2017 Projects'!$A$6:$A$155="Community Services",'2014-2017 Projects'!$AL$6:$AL$155,0))</f>
        <v>0</v>
      </c>
      <c r="J146" s="145">
        <f t="array" ref="J146">SUM(IF('2014-2017 Projects'!$A$6:$A$155="Community Services",'2014-2017 Projects'!$AN$6:$AN$155,0))</f>
        <v>0</v>
      </c>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f t="array" ref="AG146">SUM(IF('2014-2017 Projects'!$A$6:$A$155="Community Services",'2014-2017 Projects'!$BW$6:$BW$155,0))</f>
        <v>0</v>
      </c>
      <c r="AH146" s="145">
        <f t="array" ref="AH146">SUM(IF('2014-2017 Projects'!$A$6:$A$155="Community Services",'2014-2017 Projects'!$BX$6:$BX$155,0))</f>
        <v>0</v>
      </c>
      <c r="AI146" s="145">
        <f t="array" ref="AI146">SUM(IF('2014-2017 Projects'!$A$6:$A$155="Community Services",'2014-2017 Projects'!$BV$6:$BV$155,0))</f>
        <v>1401220.92</v>
      </c>
      <c r="AJ146" s="145">
        <f>H146-AG146</f>
        <v>86530409</v>
      </c>
      <c r="AK146" s="145">
        <f t="shared" si="80"/>
        <v>86530409</v>
      </c>
      <c r="AL146" s="453">
        <f t="shared" si="81"/>
        <v>0</v>
      </c>
      <c r="AM146" s="453">
        <f t="shared" si="82"/>
        <v>0</v>
      </c>
      <c r="AN146" s="145">
        <f t="array" ref="AN146">SUM(IF('2014-2017 Projects'!$A$6:$A$155="Community Services",'2014-2017 Projects'!$CE$6:$CE$155,0))</f>
        <v>75960100</v>
      </c>
      <c r="AO146" s="145">
        <f t="array" ref="AO146">SUM(IF('2014-2017 Projects'!$A$6:$A$155="Community Services",'2014-2017 Projects'!$CF$6:$CF$155,0))</f>
        <v>67662415</v>
      </c>
      <c r="AQ146" s="145">
        <f t="array" ref="AQ146">SUM(IF('2014-2017 Projects'!$A$6:$A$177="Community Services",'2014-2017 Projects'!$CF$6:$CF$177,0))</f>
        <v>67662415</v>
      </c>
      <c r="AR146" s="143"/>
      <c r="AS146" s="143"/>
      <c r="AT146" s="290"/>
      <c r="AU146" s="290"/>
      <c r="AV146" s="290"/>
    </row>
    <row r="147" spans="1:53" s="134" customFormat="1" ht="13.5" thickBot="1">
      <c r="A147" s="147" t="s">
        <v>315</v>
      </c>
      <c r="B147" s="148">
        <f>SUM(B137:B146)</f>
        <v>67430943</v>
      </c>
      <c r="C147" s="148">
        <f>SUM(C137:C146)</f>
        <v>67430943</v>
      </c>
      <c r="D147" s="148">
        <f>SUM(D137:D146)</f>
        <v>204927274.88</v>
      </c>
      <c r="E147" s="148">
        <f t="shared" ref="E147:AO147" si="83">SUM(E137:E146)</f>
        <v>12999892</v>
      </c>
      <c r="F147" s="148">
        <f t="shared" si="83"/>
        <v>217927166.88</v>
      </c>
      <c r="G147" s="148">
        <f t="shared" si="83"/>
        <v>62830943</v>
      </c>
      <c r="H147" s="148">
        <f t="shared" si="83"/>
        <v>942007423</v>
      </c>
      <c r="I147" s="148">
        <f t="shared" si="83"/>
        <v>4279296.1500000004</v>
      </c>
      <c r="J147" s="148">
        <f t="shared" si="83"/>
        <v>4564641.08</v>
      </c>
      <c r="K147" s="148">
        <f t="shared" si="83"/>
        <v>0</v>
      </c>
      <c r="L147" s="148">
        <f t="shared" si="83"/>
        <v>0</v>
      </c>
      <c r="M147" s="148">
        <f t="shared" si="83"/>
        <v>0</v>
      </c>
      <c r="N147" s="148">
        <f t="shared" si="83"/>
        <v>0</v>
      </c>
      <c r="O147" s="148">
        <f t="shared" si="83"/>
        <v>0</v>
      </c>
      <c r="P147" s="148">
        <f t="shared" si="83"/>
        <v>0</v>
      </c>
      <c r="Q147" s="148">
        <f t="shared" si="83"/>
        <v>0</v>
      </c>
      <c r="R147" s="148">
        <f t="shared" si="83"/>
        <v>0</v>
      </c>
      <c r="S147" s="148">
        <f t="shared" si="83"/>
        <v>0</v>
      </c>
      <c r="T147" s="148">
        <f t="shared" si="83"/>
        <v>0</v>
      </c>
      <c r="U147" s="148">
        <f t="shared" si="83"/>
        <v>0</v>
      </c>
      <c r="V147" s="148">
        <f t="shared" si="83"/>
        <v>0</v>
      </c>
      <c r="W147" s="148">
        <f t="shared" si="83"/>
        <v>0</v>
      </c>
      <c r="X147" s="148">
        <f t="shared" si="83"/>
        <v>0</v>
      </c>
      <c r="Y147" s="148">
        <f t="shared" si="83"/>
        <v>0</v>
      </c>
      <c r="Z147" s="148">
        <f t="shared" si="83"/>
        <v>0</v>
      </c>
      <c r="AA147" s="148">
        <f t="shared" si="83"/>
        <v>0</v>
      </c>
      <c r="AB147" s="148">
        <f t="shared" si="83"/>
        <v>0</v>
      </c>
      <c r="AC147" s="148">
        <f t="shared" si="83"/>
        <v>0</v>
      </c>
      <c r="AD147" s="148">
        <f t="shared" si="83"/>
        <v>0</v>
      </c>
      <c r="AE147" s="148">
        <f t="shared" si="83"/>
        <v>0</v>
      </c>
      <c r="AF147" s="148">
        <f t="shared" si="83"/>
        <v>0</v>
      </c>
      <c r="AG147" s="148">
        <f t="shared" si="83"/>
        <v>4279296.1500000004</v>
      </c>
      <c r="AH147" s="148">
        <f t="shared" si="83"/>
        <v>4583715.4000000004</v>
      </c>
      <c r="AI147" s="148">
        <f t="shared" si="83"/>
        <v>5180679.37</v>
      </c>
      <c r="AJ147" s="148">
        <f t="shared" si="83"/>
        <v>937728126.85000002</v>
      </c>
      <c r="AK147" s="148">
        <f t="shared" si="83"/>
        <v>937423707.60000002</v>
      </c>
      <c r="AL147" s="455">
        <f t="shared" si="81"/>
        <v>4.5427414323039794E-3</v>
      </c>
      <c r="AM147" s="455">
        <f t="shared" si="82"/>
        <v>4.8659015715633068E-3</v>
      </c>
      <c r="AN147" s="148">
        <f t="shared" si="83"/>
        <v>1024127261</v>
      </c>
      <c r="AO147" s="148">
        <f t="shared" si="83"/>
        <v>1069226151</v>
      </c>
      <c r="AQ147" s="148">
        <f>SUM(AQ137:AQ146)</f>
        <v>875461466</v>
      </c>
      <c r="AR147" s="143"/>
      <c r="AS147" s="143"/>
      <c r="AT147" s="290"/>
      <c r="AU147" s="290">
        <f>+AU140/AU145</f>
        <v>0.42941167186803897</v>
      </c>
      <c r="AV147" s="290"/>
    </row>
    <row r="148" spans="1:53" s="134" customFormat="1" ht="14.25" hidden="1" thickTop="1" thickBot="1">
      <c r="A148" s="144" t="s">
        <v>253</v>
      </c>
      <c r="B148" s="145">
        <f t="array" ref="B148">SUM(IF('2014-2017 Projects'!$A$6:$A$177="Asset Replacement",'2014-2017 Projects'!$AG$6:$AG$177,0))</f>
        <v>0</v>
      </c>
      <c r="C148" s="145">
        <f t="array" ref="C148">SUM(IF('2014-2017 Projects'!$A$6:$A$177="Asset Replacement",'2014-2017 Projects'!$AG$6:$AG$177,0))</f>
        <v>0</v>
      </c>
      <c r="D148" s="145">
        <f t="array" ref="D148">SUM(IF('2014-2017 Projects'!$A$6:$A$177="Asset Replacement",'2014-2017 Projects'!$AG$6:$AG$177,0))</f>
        <v>0</v>
      </c>
      <c r="E148" s="145">
        <f t="array" ref="E148">SUM(IF('2014-2017 Projects'!$A$6:$A$177="Asset Replacement",'2014-2017 Projects'!$AH$6:$AH$177,0))</f>
        <v>0</v>
      </c>
      <c r="F148" s="145">
        <f t="array" ref="F148">SUM(IF('2014-2017 Projects'!$A$6:$A$177="Asset Replacement",'2014-2017 Projects'!$AI$6:$AI$177,0))</f>
        <v>0</v>
      </c>
      <c r="G148" s="145"/>
      <c r="H148" s="145">
        <f t="array" ref="H148">SUM(IF('2014-2017 Projects'!$A$6:$A$177="Asset Replacement",'2014-2017 Projects'!$AK$6:$AK$177,0))</f>
        <v>0</v>
      </c>
      <c r="I148" s="145"/>
      <c r="J148" s="145"/>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455" t="e">
        <f t="shared" ref="AL148:AL149" si="84">AG148/H148</f>
        <v>#DIV/0!</v>
      </c>
      <c r="AM148" s="455" t="e">
        <f t="shared" ref="AM148:AM149" si="85">AH148/H148</f>
        <v>#DIV/0!</v>
      </c>
      <c r="AN148" s="145">
        <f t="array" ref="AN148">SUM(IF('2014-2017 Projects'!$A$6:$A$177="Asset Replacement",'2014-2017 Projects'!$CE$6:$CE$177,0))</f>
        <v>0</v>
      </c>
      <c r="AO148" s="145">
        <f t="array" ref="AO148">SUM(IF('2014-2017 Projects'!$A$6:$A$177="Asset Replacement",'2014-2017 Projects'!$CF$6:$CF$177,0))</f>
        <v>0</v>
      </c>
      <c r="AQ148" s="145">
        <f t="array" ref="AQ148">SUM(IF('2014-2017 Projects'!$A$6:$A$177="Asset Replacement",'2014-2017 Projects'!$CF$6:$CF$177,0))</f>
        <v>0</v>
      </c>
      <c r="AR148" s="143"/>
      <c r="AS148" s="143"/>
      <c r="AT148" s="290"/>
      <c r="AU148" s="290"/>
      <c r="AV148" s="290"/>
    </row>
    <row r="149" spans="1:53" s="134" customFormat="1" ht="14.25" hidden="1" thickTop="1" thickBot="1">
      <c r="A149" s="166" t="s">
        <v>316</v>
      </c>
      <c r="B149" s="148">
        <f>B147+B148</f>
        <v>67430943</v>
      </c>
      <c r="C149" s="148">
        <f>C147+C148</f>
        <v>67430943</v>
      </c>
      <c r="D149" s="148">
        <f>D147+D148</f>
        <v>204927274.88</v>
      </c>
      <c r="E149" s="148">
        <f t="shared" ref="E149:AO149" si="86">E147+E148</f>
        <v>12999892</v>
      </c>
      <c r="F149" s="148">
        <f t="shared" si="86"/>
        <v>217927166.88</v>
      </c>
      <c r="G149" s="148">
        <f t="shared" si="86"/>
        <v>62830943</v>
      </c>
      <c r="H149" s="148">
        <f t="shared" si="86"/>
        <v>942007423</v>
      </c>
      <c r="I149" s="148">
        <f t="shared" si="86"/>
        <v>4279296.1500000004</v>
      </c>
      <c r="J149" s="148">
        <f t="shared" si="86"/>
        <v>4564641.08</v>
      </c>
      <c r="K149" s="148">
        <f t="shared" si="86"/>
        <v>0</v>
      </c>
      <c r="L149" s="148">
        <f t="shared" si="86"/>
        <v>0</v>
      </c>
      <c r="M149" s="148">
        <f t="shared" si="86"/>
        <v>0</v>
      </c>
      <c r="N149" s="148">
        <f t="shared" si="86"/>
        <v>0</v>
      </c>
      <c r="O149" s="148">
        <f t="shared" si="86"/>
        <v>0</v>
      </c>
      <c r="P149" s="148">
        <f t="shared" si="86"/>
        <v>0</v>
      </c>
      <c r="Q149" s="148">
        <f t="shared" si="86"/>
        <v>0</v>
      </c>
      <c r="R149" s="148">
        <f t="shared" si="86"/>
        <v>0</v>
      </c>
      <c r="S149" s="148">
        <f t="shared" si="86"/>
        <v>0</v>
      </c>
      <c r="T149" s="148">
        <f t="shared" si="86"/>
        <v>0</v>
      </c>
      <c r="U149" s="148">
        <f t="shared" si="86"/>
        <v>0</v>
      </c>
      <c r="V149" s="148">
        <f t="shared" si="86"/>
        <v>0</v>
      </c>
      <c r="W149" s="148">
        <f t="shared" si="86"/>
        <v>0</v>
      </c>
      <c r="X149" s="148">
        <f t="shared" si="86"/>
        <v>0</v>
      </c>
      <c r="Y149" s="148">
        <f t="shared" si="86"/>
        <v>0</v>
      </c>
      <c r="Z149" s="148">
        <f t="shared" si="86"/>
        <v>0</v>
      </c>
      <c r="AA149" s="148">
        <f t="shared" si="86"/>
        <v>0</v>
      </c>
      <c r="AB149" s="148">
        <f t="shared" si="86"/>
        <v>0</v>
      </c>
      <c r="AC149" s="148">
        <f t="shared" si="86"/>
        <v>0</v>
      </c>
      <c r="AD149" s="148">
        <f t="shared" si="86"/>
        <v>0</v>
      </c>
      <c r="AE149" s="148">
        <f t="shared" si="86"/>
        <v>0</v>
      </c>
      <c r="AF149" s="148">
        <f t="shared" si="86"/>
        <v>0</v>
      </c>
      <c r="AG149" s="148">
        <f t="shared" si="86"/>
        <v>4279296.1500000004</v>
      </c>
      <c r="AH149" s="148">
        <f t="shared" si="86"/>
        <v>4583715.4000000004</v>
      </c>
      <c r="AI149" s="148">
        <f t="shared" si="86"/>
        <v>5180679.37</v>
      </c>
      <c r="AJ149" s="148">
        <f t="shared" si="86"/>
        <v>937728126.85000002</v>
      </c>
      <c r="AK149" s="148">
        <f t="shared" si="86"/>
        <v>937423707.60000002</v>
      </c>
      <c r="AL149" s="455">
        <f t="shared" si="84"/>
        <v>4.5427414323039794E-3</v>
      </c>
      <c r="AM149" s="455">
        <f t="shared" si="85"/>
        <v>4.8659015715633068E-3</v>
      </c>
      <c r="AN149" s="148">
        <f t="shared" si="86"/>
        <v>1024127261</v>
      </c>
      <c r="AO149" s="148">
        <f t="shared" si="86"/>
        <v>1069226151</v>
      </c>
      <c r="AQ149" s="148">
        <f>AQ147+AQ148</f>
        <v>875461466</v>
      </c>
      <c r="AR149" s="143"/>
      <c r="AS149" s="143">
        <v>942007423</v>
      </c>
      <c r="AT149" s="290"/>
      <c r="AU149" s="290" t="e">
        <v>#REF!</v>
      </c>
      <c r="AV149" s="290"/>
      <c r="AW149" s="134">
        <v>1024127261</v>
      </c>
      <c r="AX149" s="134" t="e">
        <v>#REF!</v>
      </c>
      <c r="AY149" s="134" t="e">
        <v>#REF!</v>
      </c>
      <c r="AZ149" s="134" t="e">
        <v>#REF!</v>
      </c>
      <c r="BA149" s="134">
        <v>1069226151</v>
      </c>
    </row>
    <row r="150" spans="1:53" ht="13.5" thickTop="1"/>
    <row r="151" spans="1:53" hidden="1">
      <c r="H151" s="313" t="s">
        <v>440</v>
      </c>
      <c r="I151" s="313"/>
      <c r="J151" s="313"/>
      <c r="K151" s="313"/>
      <c r="L151" s="313"/>
      <c r="M151" s="313"/>
      <c r="N151" s="313"/>
      <c r="O151" s="313"/>
      <c r="P151" s="313"/>
      <c r="Q151" s="313"/>
      <c r="R151" s="313"/>
      <c r="S151" s="313"/>
      <c r="T151" s="313"/>
      <c r="U151" s="313"/>
      <c r="V151" s="313"/>
      <c r="W151" s="313"/>
      <c r="X151" s="313"/>
      <c r="Y151" s="313"/>
      <c r="Z151" s="313"/>
      <c r="AA151" s="313"/>
      <c r="AB151" s="313"/>
      <c r="AC151" s="313"/>
      <c r="AD151" s="313"/>
      <c r="AE151" s="313"/>
      <c r="AF151" s="313"/>
      <c r="AG151" s="313"/>
      <c r="AH151" s="313"/>
      <c r="AI151" s="313"/>
      <c r="AJ151" s="313"/>
      <c r="AK151" s="313"/>
      <c r="AL151" s="313"/>
      <c r="AM151" s="313"/>
    </row>
    <row r="152" spans="1:53" ht="22.5">
      <c r="A152" s="172" t="s">
        <v>317</v>
      </c>
      <c r="B152" s="309" t="s">
        <v>318</v>
      </c>
      <c r="C152" s="309" t="s">
        <v>318</v>
      </c>
      <c r="D152" s="309" t="s">
        <v>318</v>
      </c>
      <c r="E152" s="309" t="s">
        <v>318</v>
      </c>
      <c r="F152" s="309" t="s">
        <v>318</v>
      </c>
      <c r="G152" s="173"/>
      <c r="H152" s="174" t="s">
        <v>319</v>
      </c>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c r="AL152" s="174"/>
      <c r="AM152" s="174"/>
      <c r="AN152" s="174" t="s">
        <v>319</v>
      </c>
      <c r="AO152" s="174" t="s">
        <v>319</v>
      </c>
    </row>
    <row r="153" spans="1:53" ht="13.5">
      <c r="A153" s="175" t="s">
        <v>320</v>
      </c>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c r="AO153" s="176"/>
    </row>
    <row r="154" spans="1:53" ht="13.5">
      <c r="A154" s="178" t="s">
        <v>321</v>
      </c>
      <c r="B154" s="179" t="e">
        <f>SUM(B155:B157)</f>
        <v>#REF!</v>
      </c>
      <c r="C154" s="179" t="e">
        <f>SUM(C155:C157)</f>
        <v>#REF!</v>
      </c>
      <c r="D154" s="179" t="e">
        <f>SUM(D155:D157)</f>
        <v>#REF!</v>
      </c>
      <c r="E154" s="179" t="e">
        <f>SUM(E155:E157)</f>
        <v>#REF!</v>
      </c>
      <c r="F154" s="179" t="e">
        <f>SUM(F155:F157)</f>
        <v>#REF!</v>
      </c>
      <c r="G154" s="179"/>
      <c r="H154" s="179">
        <f>SUM(H155:H157)</f>
        <v>34950000</v>
      </c>
      <c r="I154" s="179"/>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f>SUM(AN155:AN157)</f>
        <v>53478000</v>
      </c>
      <c r="AO154" s="179">
        <f>SUM(AO155:AO157)</f>
        <v>50944000</v>
      </c>
    </row>
    <row r="155" spans="1:53" ht="13.5">
      <c r="A155" s="180" t="s">
        <v>29</v>
      </c>
      <c r="B155" s="181" t="e">
        <f t="array" ref="B155">SUM(IF('[5]2013-2016 Projects'!$D$4:$D$202="Executive and council",'[5]2013-2016 Projects'!$V$4:$V$202,0))</f>
        <v>#REF!</v>
      </c>
      <c r="C155" s="181" t="e">
        <f t="array" ref="C155">SUM(IF('[5]2013-2016 Projects'!$D$4:$D$202="Executive and council",'[5]2013-2016 Projects'!$V$4:$V$202,0))</f>
        <v>#REF!</v>
      </c>
      <c r="D155" s="181" t="e">
        <f t="array" ref="D155">SUM(IF('[5]2013-2016 Projects'!$D$4:$D$202="Executive and council",'[5]2013-2016 Projects'!$V$4:$V$202,0))</f>
        <v>#REF!</v>
      </c>
      <c r="E155" s="181" t="e">
        <f t="array" ref="E155">SUM(IF('[5]2013-2016 Projects'!$D$4:$D$202="Executive and council",'[5]2013-2016 Projects'!$V$4:$V$202,0))</f>
        <v>#REF!</v>
      </c>
      <c r="F155" s="181" t="e">
        <f t="array" ref="F155">SUM(IF('[5]2013-2016 Projects'!$D$4:$D$202="Executive and council",'[5]2013-2016 Projects'!$V$4:$V$202,0))</f>
        <v>#REF!</v>
      </c>
      <c r="G155" s="181"/>
      <c r="H155" s="181">
        <f t="array" ref="H155">SUM(IF('2014-2017 Projects'!$I$5:$I$156="Executive and council",'2014-2017 Projects'!$AK$5:$AK$156,0))</f>
        <v>7500000</v>
      </c>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f t="array" ref="AN155">SUM(IF('2014-2017 Projects'!$I$5:$I$156="Executive and council",'2014-2017 Projects'!$CE$5:$CE$156,0))</f>
        <v>19378000</v>
      </c>
      <c r="AO155" s="181">
        <f t="array" ref="AO155">SUM(IF('2014-2017 Projects'!$I$5:$I$84="Executive and council",'2014-2017 Projects'!$CF$5:$CF$84,0))</f>
        <v>20244000</v>
      </c>
    </row>
    <row r="156" spans="1:53" ht="13.5">
      <c r="A156" s="180" t="s">
        <v>322</v>
      </c>
      <c r="B156" s="181" t="e">
        <f t="array" ref="B156">SUM(IF('[5]2013-2016 Projects'!$D$4:$D$202="Budget and treasury office",'[5]2013-2016 Projects'!$V$4:$V$202,0))</f>
        <v>#REF!</v>
      </c>
      <c r="C156" s="181" t="e">
        <f t="array" ref="C156">SUM(IF('[5]2013-2016 Projects'!$D$4:$D$202="Budget and treasury office",'[5]2013-2016 Projects'!$V$4:$V$202,0))</f>
        <v>#REF!</v>
      </c>
      <c r="D156" s="181" t="e">
        <f t="array" ref="D156">SUM(IF('[5]2013-2016 Projects'!$D$4:$D$202="Budget and treasury office",'[5]2013-2016 Projects'!$V$4:$V$202,0))</f>
        <v>#REF!</v>
      </c>
      <c r="E156" s="181" t="e">
        <f t="array" ref="E156">SUM(IF('[5]2013-2016 Projects'!$D$4:$D$202="Budget and treasury office",'[5]2013-2016 Projects'!$V$4:$V$202,0))</f>
        <v>#REF!</v>
      </c>
      <c r="F156" s="181" t="e">
        <f t="array" ref="F156">SUM(IF('[5]2013-2016 Projects'!$D$4:$D$202="Budget and treasury office",'[5]2013-2016 Projects'!$V$4:$V$202,0))</f>
        <v>#REF!</v>
      </c>
      <c r="G156" s="181"/>
      <c r="H156" s="181">
        <f t="array" ref="H156">SUM(IF('2014-2017 Projects'!$I$5:$I$156="Budget and treasury",'2014-2017 Projects'!$AK$5:$AK$156,0))</f>
        <v>12350000</v>
      </c>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f t="array" ref="AN156">SUM(IF('2014-2017 Projects'!$I$5:$I$156="Budget and treasury",'2014-2017 Projects'!$CE$5:$CE$156,0))</f>
        <v>12000000</v>
      </c>
      <c r="AO156" s="181">
        <f t="array" ref="AO156">SUM(IF('2014-2017 Projects'!$I$5:$I$156="Budget and treasury",'2014-2017 Projects'!$CF$5:$CF$156,0))</f>
        <v>10500000</v>
      </c>
    </row>
    <row r="157" spans="1:53" ht="13.5">
      <c r="A157" s="180" t="s">
        <v>30</v>
      </c>
      <c r="B157" s="181" t="e">
        <f t="array" ref="B157">SUM(IF('[5]2013-2016 Projects'!$D$4:$D$202="Corporate services",'[5]2013-2016 Projects'!$V$4:$V$202,0))</f>
        <v>#REF!</v>
      </c>
      <c r="C157" s="181" t="e">
        <f t="array" ref="C157">SUM(IF('[5]2013-2016 Projects'!$D$4:$D$202="Corporate services",'[5]2013-2016 Projects'!$V$4:$V$202,0))</f>
        <v>#REF!</v>
      </c>
      <c r="D157" s="181" t="e">
        <f t="array" ref="D157">SUM(IF('[5]2013-2016 Projects'!$D$4:$D$202="Corporate services",'[5]2013-2016 Projects'!$V$4:$V$202,0))</f>
        <v>#REF!</v>
      </c>
      <c r="E157" s="181" t="e">
        <f t="array" ref="E157">SUM(IF('[5]2013-2016 Projects'!$D$4:$D$202="Corporate services",'[5]2013-2016 Projects'!$V$4:$V$202,0))</f>
        <v>#REF!</v>
      </c>
      <c r="F157" s="181" t="e">
        <f t="array" ref="F157">SUM(IF('[5]2013-2016 Projects'!$D$4:$D$202="Corporate services",'[5]2013-2016 Projects'!$V$4:$V$202,0))</f>
        <v>#REF!</v>
      </c>
      <c r="G157" s="181"/>
      <c r="H157" s="181">
        <f t="array" ref="H157">SUM(IF('2014-2017 Projects'!$I$5:$I$156="Corporate Services",'2014-2017 Projects'!$AK$5:$AK$156,0))</f>
        <v>15100000</v>
      </c>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f t="array" ref="AN157">SUM(IF('2014-2017 Projects'!$I$5:$I$156="Corporate Services",'2014-2017 Projects'!$CE$5:$CE$156,0))</f>
        <v>22100000</v>
      </c>
      <c r="AO157" s="181">
        <f t="array" ref="AO157">SUM(IF('2014-2017 Projects'!$I$5:$I$156="Corporate Services",'2014-2017 Projects'!$CF$5:$CF$156,0))</f>
        <v>20200000</v>
      </c>
    </row>
    <row r="158" spans="1:53" ht="13.5">
      <c r="A158" s="178" t="s">
        <v>323</v>
      </c>
      <c r="B158" s="179" t="e">
        <f>SUM(B159:B163)</f>
        <v>#REF!</v>
      </c>
      <c r="C158" s="179" t="e">
        <f>SUM(C159:C163)</f>
        <v>#REF!</v>
      </c>
      <c r="D158" s="179" t="e">
        <f>SUM(D159:D163)</f>
        <v>#REF!</v>
      </c>
      <c r="E158" s="179" t="e">
        <f>SUM(E159:E163)</f>
        <v>#REF!</v>
      </c>
      <c r="F158" s="179" t="e">
        <f>SUM(F159:F163)</f>
        <v>#REF!</v>
      </c>
      <c r="G158" s="179"/>
      <c r="H158" s="179">
        <f>SUM(H159:H163)</f>
        <v>140466517</v>
      </c>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f>SUM(AN159:AN163)</f>
        <v>206718500</v>
      </c>
      <c r="AO158" s="179">
        <f>SUM(AO159:AO163)</f>
        <v>321214685</v>
      </c>
    </row>
    <row r="159" spans="1:53" ht="13.5">
      <c r="A159" s="180" t="s">
        <v>31</v>
      </c>
      <c r="B159" s="181" t="e">
        <f t="array" ref="B159">SUM(IF('[5]2013-2016 Projects'!$D$4:$D$202="Community and social services",'[5]2013-2016 Projects'!$V$4:$V$202,0))</f>
        <v>#REF!</v>
      </c>
      <c r="C159" s="181" t="e">
        <f t="array" ref="C159">SUM(IF('[5]2013-2016 Projects'!$D$4:$D$202="Community and social services",'[5]2013-2016 Projects'!$V$4:$V$202,0))</f>
        <v>#REF!</v>
      </c>
      <c r="D159" s="181" t="e">
        <f t="array" ref="D159">SUM(IF('[5]2013-2016 Projects'!$D$4:$D$202="Community and social services",'[5]2013-2016 Projects'!$V$4:$V$202,0))</f>
        <v>#REF!</v>
      </c>
      <c r="E159" s="181" t="e">
        <f t="array" ref="E159">SUM(IF('[5]2013-2016 Projects'!$D$4:$D$202="Community and social services",'[5]2013-2016 Projects'!$V$4:$V$202,0))</f>
        <v>#REF!</v>
      </c>
      <c r="F159" s="181" t="e">
        <f t="array" ref="F159">SUM(IF('[5]2013-2016 Projects'!$D$4:$D$202="Community and social services",'[5]2013-2016 Projects'!$V$4:$V$202,0))</f>
        <v>#REF!</v>
      </c>
      <c r="G159" s="181"/>
      <c r="H159" s="181">
        <f t="array" ref="H159">SUM(IF('2014-2017 Projects'!$I$5:$I$158="Community and social services",'2014-2017 Projects'!$AK$5:$AK$158,0))</f>
        <v>12500000</v>
      </c>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f t="array" ref="AN159">SUM(IF('2014-2017 Projects'!$I$5:$I$158="Community and social services",'2014-2017 Projects'!$CE$5:$CE$158,0))</f>
        <v>9500000</v>
      </c>
      <c r="AO159" s="181">
        <f t="array" ref="AO159">SUM(IF('2014-2017 Projects'!$I$5:$I$158="Community and social services",'2014-2017 Projects'!$CF$5:$CF$158,0))</f>
        <v>9500000</v>
      </c>
    </row>
    <row r="160" spans="1:53" ht="13.5">
      <c r="A160" s="180" t="s">
        <v>324</v>
      </c>
      <c r="B160" s="181" t="e">
        <f t="array" ref="B160">SUM(IF('[5]2013-2016 Projects'!$D$4:$D$202="Sport and recreation",'[5]2013-2016 Projects'!$V$4:$V$202,0))</f>
        <v>#REF!</v>
      </c>
      <c r="C160" s="181" t="e">
        <f t="array" ref="C160">SUM(IF('[5]2013-2016 Projects'!$D$4:$D$202="Sport and recreation",'[5]2013-2016 Projects'!$V$4:$V$202,0))</f>
        <v>#REF!</v>
      </c>
      <c r="D160" s="181" t="e">
        <f t="array" ref="D160">SUM(IF('[5]2013-2016 Projects'!$D$4:$D$202="Sport and recreation",'[5]2013-2016 Projects'!$V$4:$V$202,0))</f>
        <v>#REF!</v>
      </c>
      <c r="E160" s="181" t="e">
        <f t="array" ref="E160">SUM(IF('[5]2013-2016 Projects'!$D$4:$D$202="Sport and recreation",'[5]2013-2016 Projects'!$V$4:$V$202,0))</f>
        <v>#REF!</v>
      </c>
      <c r="F160" s="181" t="e">
        <f t="array" ref="F160">SUM(IF('[5]2013-2016 Projects'!$D$4:$D$202="Sport and recreation",'[5]2013-2016 Projects'!$V$4:$V$202,0))</f>
        <v>#REF!</v>
      </c>
      <c r="G160" s="181"/>
      <c r="H160" s="181">
        <f t="array" ref="H160">SUM(IF('2014-2017 Projects'!$I$5:$I$158="Sport and recreation",'2014-2017 Projects'!$AK$5:$AK$158,0))</f>
        <v>28030409</v>
      </c>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f t="array" ref="AN160">SUM(IF('2014-2017 Projects'!$I$5:$I$158="Sport and recreation",'2014-2017 Projects'!$CE$5:$CE$158,0))</f>
        <v>21750000</v>
      </c>
      <c r="AO160" s="181">
        <f t="array" ref="AO160">SUM(IF('2014-2017 Projects'!$I$5:$I$158="Sport and recreation",'2014-2017 Projects'!$CF$5:$CF$158,0))</f>
        <v>19750000</v>
      </c>
    </row>
    <row r="161" spans="1:41" ht="13.5">
      <c r="A161" s="180" t="s">
        <v>32</v>
      </c>
      <c r="B161" s="181" t="e">
        <f t="array" ref="B161">SUM(IF('[5]2013-2016 Projects'!$D$4:$D$202="Public safety",'[5]2013-2016 Projects'!$V$4:$V$202,0))</f>
        <v>#REF!</v>
      </c>
      <c r="C161" s="181" t="e">
        <f t="array" ref="C161">SUM(IF('[5]2013-2016 Projects'!$D$4:$D$202="Public safety",'[5]2013-2016 Projects'!$V$4:$V$202,0))</f>
        <v>#REF!</v>
      </c>
      <c r="D161" s="181" t="e">
        <f t="array" ref="D161">SUM(IF('[5]2013-2016 Projects'!$D$4:$D$202="Public safety",'[5]2013-2016 Projects'!$V$4:$V$202,0))</f>
        <v>#REF!</v>
      </c>
      <c r="E161" s="181" t="e">
        <f t="array" ref="E161">SUM(IF('[5]2013-2016 Projects'!$D$4:$D$202="Public safety",'[5]2013-2016 Projects'!$V$4:$V$202,0))</f>
        <v>#REF!</v>
      </c>
      <c r="F161" s="181" t="e">
        <f t="array" ref="F161">SUM(IF('[5]2013-2016 Projects'!$D$4:$D$202="Public safety",'[5]2013-2016 Projects'!$V$4:$V$202,0))</f>
        <v>#REF!</v>
      </c>
      <c r="G161" s="181"/>
      <c r="H161" s="181">
        <f t="array" ref="H161">SUM(IF('2014-2017 Projects'!$I$5:$I$158="Public safety",'2014-2017 Projects'!$AK$5:$AK$158,0))</f>
        <v>9800000</v>
      </c>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f t="array" ref="AN161">SUM(IF('2014-2017 Projects'!$I$5:$I$158="Public safety",'2014-2017 Projects'!$CE$5:$CE$158,0))</f>
        <v>12500000</v>
      </c>
      <c r="AO161" s="181">
        <f t="array" ref="AO161">SUM(IF('2014-2017 Projects'!$I$5:$I$158="Public safety",'2014-2017 Projects'!$CF$5:$CF$158,0))</f>
        <v>25200000</v>
      </c>
    </row>
    <row r="162" spans="1:41" ht="13.5">
      <c r="A162" s="180" t="s">
        <v>13</v>
      </c>
      <c r="B162" s="181" t="e">
        <f t="array" ref="B162">SUM(IF('[5]2013-2016 Projects'!$D$4:$D$202="Housing",'[5]2013-2016 Projects'!$V$4:$V$202,0))</f>
        <v>#REF!</v>
      </c>
      <c r="C162" s="181" t="e">
        <f t="array" ref="C162">SUM(IF('[5]2013-2016 Projects'!$D$4:$D$202="Housing",'[5]2013-2016 Projects'!$V$4:$V$202,0))</f>
        <v>#REF!</v>
      </c>
      <c r="D162" s="181" t="e">
        <f t="array" ref="D162">SUM(IF('[5]2013-2016 Projects'!$D$4:$D$202="Housing",'[5]2013-2016 Projects'!$V$4:$V$202,0))</f>
        <v>#REF!</v>
      </c>
      <c r="E162" s="181" t="e">
        <f t="array" ref="E162">SUM(IF('[5]2013-2016 Projects'!$D$4:$D$202="Housing",'[5]2013-2016 Projects'!$V$4:$V$202,0))</f>
        <v>#REF!</v>
      </c>
      <c r="F162" s="181" t="e">
        <f t="array" ref="F162">SUM(IF('[5]2013-2016 Projects'!$D$4:$D$202="Housing",'[5]2013-2016 Projects'!$V$4:$V$202,0))</f>
        <v>#REF!</v>
      </c>
      <c r="G162" s="181"/>
      <c r="H162" s="181">
        <f t="array" ref="H162">SUM(IF('2014-2017 Projects'!$I$5:$I$156="Housing",'2014-2017 Projects'!$AK$5:$AK$156,0))</f>
        <v>90136108</v>
      </c>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f t="array" ref="AN162">SUM(IF('2014-2017 Projects'!$I$5:$I$84="Housing",'2014-2017 Projects'!$CE$5:$CE$84,0))</f>
        <v>162968500</v>
      </c>
      <c r="AO162" s="181">
        <f t="array" ref="AO162">SUM(IF('2014-2017 Projects'!$I$5:$I$84="Housing",'2014-2017 Projects'!$CF$5:$CF$84,0))</f>
        <v>266764685</v>
      </c>
    </row>
    <row r="163" spans="1:41" ht="13.5">
      <c r="A163" s="180" t="s">
        <v>325</v>
      </c>
      <c r="B163" s="181" t="e">
        <f t="array" ref="B163">SUM(IF('[5]2013-2016 Projects'!$D$4:$D$202="Health",'[5]2013-2016 Projects'!$V$4:$V$202,0))</f>
        <v>#REF!</v>
      </c>
      <c r="C163" s="181" t="e">
        <f t="array" ref="C163">SUM(IF('[5]2013-2016 Projects'!$D$4:$D$202="Health",'[5]2013-2016 Projects'!$V$4:$V$202,0))</f>
        <v>#REF!</v>
      </c>
      <c r="D163" s="181" t="e">
        <f t="array" ref="D163">SUM(IF('[5]2013-2016 Projects'!$D$4:$D$202="Health",'[5]2013-2016 Projects'!$V$4:$V$202,0))</f>
        <v>#REF!</v>
      </c>
      <c r="E163" s="181" t="e">
        <f t="array" ref="E163">SUM(IF('[5]2013-2016 Projects'!$D$4:$D$202="Health",'[5]2013-2016 Projects'!$V$4:$V$202,0))</f>
        <v>#REF!</v>
      </c>
      <c r="F163" s="181" t="e">
        <f t="array" ref="F163">SUM(IF('[5]2013-2016 Projects'!$D$4:$D$202="Health",'[5]2013-2016 Projects'!$V$4:$V$202,0))</f>
        <v>#REF!</v>
      </c>
      <c r="G163" s="181"/>
      <c r="H163" s="181">
        <f t="array" ref="H163">SUM(IF('2014-2017 Projects'!$I$5:$I$158="Health",'2014-2017 Projects'!$AK$5:$AK$158,0))</f>
        <v>0</v>
      </c>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f t="array" ref="AN163">SUM(IF('2014-2017 Projects'!$I$5:$I$158="Health",'2014-2017 Projects'!$CE$5:$CE$158,0))</f>
        <v>0</v>
      </c>
      <c r="AO163" s="181">
        <f t="array" ref="AO163">SUM(IF('2014-2017 Projects'!$I$5:$I$158="Health",'2014-2017 Projects'!$CF$5:$CF$158,0))</f>
        <v>0</v>
      </c>
    </row>
    <row r="164" spans="1:41" ht="13.5">
      <c r="A164" s="178" t="s">
        <v>326</v>
      </c>
      <c r="B164" s="179" t="e">
        <f>SUM(B165:B167)</f>
        <v>#REF!</v>
      </c>
      <c r="C164" s="179" t="e">
        <f>SUM(C165:C167)</f>
        <v>#REF!</v>
      </c>
      <c r="D164" s="179" t="e">
        <f>SUM(D165:D167)</f>
        <v>#REF!</v>
      </c>
      <c r="E164" s="179" t="e">
        <f>SUM(E165:E167)</f>
        <v>#REF!</v>
      </c>
      <c r="F164" s="179" t="e">
        <f>SUM(F165:F167)</f>
        <v>#REF!</v>
      </c>
      <c r="G164" s="179"/>
      <c r="H164" s="179">
        <f>SUM(H165:H167)</f>
        <v>262895288</v>
      </c>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f>SUM(AN165:AN167)</f>
        <v>245220661</v>
      </c>
      <c r="AO164" s="179">
        <f>SUM(AO165:AO167)</f>
        <v>271655051</v>
      </c>
    </row>
    <row r="165" spans="1:41" ht="13.5">
      <c r="A165" s="180" t="s">
        <v>33</v>
      </c>
      <c r="B165" s="181" t="e">
        <f t="array" ref="B165">SUM(IF('[5]2013-2016 Projects'!$D$4:$D$202="Planning and development",'[5]2013-2016 Projects'!$V$4:$V$202,0))</f>
        <v>#REF!</v>
      </c>
      <c r="C165" s="181" t="e">
        <f t="array" ref="C165">SUM(IF('[5]2013-2016 Projects'!$D$4:$D$202="Planning and development",'[5]2013-2016 Projects'!$V$4:$V$202,0))</f>
        <v>#REF!</v>
      </c>
      <c r="D165" s="181" t="e">
        <f t="array" ref="D165">SUM(IF('[5]2013-2016 Projects'!$D$4:$D$202="Planning and development",'[5]2013-2016 Projects'!$V$4:$V$202,0))</f>
        <v>#REF!</v>
      </c>
      <c r="E165" s="181" t="e">
        <f t="array" ref="E165">SUM(IF('[5]2013-2016 Projects'!$D$4:$D$202="Planning and development",'[5]2013-2016 Projects'!$V$4:$V$202,0))</f>
        <v>#REF!</v>
      </c>
      <c r="F165" s="181" t="e">
        <f t="array" ref="F165">SUM(IF('[5]2013-2016 Projects'!$D$4:$D$202="Planning and development",'[5]2013-2016 Projects'!$V$4:$V$202,0))</f>
        <v>#REF!</v>
      </c>
      <c r="G165" s="181"/>
      <c r="H165" s="181">
        <f t="array" ref="H165">SUM(IF('2014-2017 Projects'!$I$5:$I$158="Planning and development",'2014-2017 Projects'!$AK$5:$AK$158,0))</f>
        <v>54895288</v>
      </c>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f t="array" ref="AN165">SUM(IF('2014-2017 Projects'!$I$5:$I$158="Planning and development",'2014-2017 Projects'!$CE$5:$CE$158,0))</f>
        <v>52220661</v>
      </c>
      <c r="AO165" s="181">
        <f t="array" ref="AO165">SUM(IF('2014-2017 Projects'!$I$5:$I$158="Planning and development",'2014-2017 Projects'!$CF$5:$CF$158,0))</f>
        <v>83655051</v>
      </c>
    </row>
    <row r="166" spans="1:41" ht="13.5">
      <c r="A166" s="180" t="s">
        <v>34</v>
      </c>
      <c r="B166" s="181" t="e">
        <f t="array" ref="B166">SUM(IF('[5]2013-2016 Projects'!$D$4:$D$202="Road transport",'[5]2013-2016 Projects'!$V$4:$V$202,0))</f>
        <v>#REF!</v>
      </c>
      <c r="C166" s="181" t="e">
        <f t="array" ref="C166">SUM(IF('[5]2013-2016 Projects'!$D$4:$D$202="Road transport",'[5]2013-2016 Projects'!$V$4:$V$202,0))</f>
        <v>#REF!</v>
      </c>
      <c r="D166" s="181" t="e">
        <f t="array" ref="D166">SUM(IF('[5]2013-2016 Projects'!$D$4:$D$202="Road transport",'[5]2013-2016 Projects'!$V$4:$V$202,0))</f>
        <v>#REF!</v>
      </c>
      <c r="E166" s="181" t="e">
        <f t="array" ref="E166">SUM(IF('[5]2013-2016 Projects'!$D$4:$D$202="Road transport",'[5]2013-2016 Projects'!$V$4:$V$202,0))</f>
        <v>#REF!</v>
      </c>
      <c r="F166" s="181" t="e">
        <f t="array" ref="F166">SUM(IF('[5]2013-2016 Projects'!$D$4:$D$202="Road transport",'[5]2013-2016 Projects'!$V$4:$V$202,0))</f>
        <v>#REF!</v>
      </c>
      <c r="G166" s="181"/>
      <c r="H166" s="181">
        <f t="array" ref="H166">SUM(IF('2014-2017 Projects'!$I$5:$I$158="Road Transport",'2014-2017 Projects'!$AK$5:$AK$158,0))</f>
        <v>198000000</v>
      </c>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f t="array" ref="AN166">SUM(IF('2014-2017 Projects'!$I$5:$I$158="Road Transport",'2014-2017 Projects'!$CE$5:$CE$158,0))</f>
        <v>185000000</v>
      </c>
      <c r="AO166" s="181">
        <f t="array" ref="AO166">SUM(IF('2014-2017 Projects'!$I$5:$I$158="Road Transport",'2014-2017 Projects'!$CF$5:$CF$158,0))</f>
        <v>180000000</v>
      </c>
    </row>
    <row r="167" spans="1:41" ht="13.5">
      <c r="A167" s="180" t="s">
        <v>327</v>
      </c>
      <c r="B167" s="181" t="e">
        <f t="array" ref="B167">SUM(IF('[5]2013-2016 Projects'!$D$4:$D$202="Environmental protection",'[5]2013-2016 Projects'!$V$4:$V$202,0))</f>
        <v>#REF!</v>
      </c>
      <c r="C167" s="181" t="e">
        <f t="array" ref="C167">SUM(IF('[5]2013-2016 Projects'!$D$4:$D$202="Environmental protection",'[5]2013-2016 Projects'!$V$4:$V$202,0))</f>
        <v>#REF!</v>
      </c>
      <c r="D167" s="181" t="e">
        <f t="array" ref="D167">SUM(IF('[5]2013-2016 Projects'!$D$4:$D$202="Environmental protection",'[5]2013-2016 Projects'!$V$4:$V$202,0))</f>
        <v>#REF!</v>
      </c>
      <c r="E167" s="181" t="e">
        <f t="array" ref="E167">SUM(IF('[5]2013-2016 Projects'!$D$4:$D$202="Environmental protection",'[5]2013-2016 Projects'!$V$4:$V$202,0))</f>
        <v>#REF!</v>
      </c>
      <c r="F167" s="181" t="e">
        <f t="array" ref="F167">SUM(IF('[5]2013-2016 Projects'!$D$4:$D$202="Environmental protection",'[5]2013-2016 Projects'!$V$4:$V$202,0))</f>
        <v>#REF!</v>
      </c>
      <c r="G167" s="181"/>
      <c r="H167" s="181">
        <f t="array" ref="H167">SUM(IF('2014-2017 Projects'!$I$5:$I$158="Environmental Protection",'2014-2017 Projects'!$AK$5:$AK$158,0))</f>
        <v>10000000</v>
      </c>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f t="array" ref="AN167">SUM(IF('2014-2017 Projects'!$I$5:$I$158="Environmental Protection",'2014-2017 Projects'!$CE$5:$CE$158,0))</f>
        <v>8000000</v>
      </c>
      <c r="AO167" s="181">
        <f t="array" ref="AO167">SUM(IF('2014-2017 Projects'!$I$5:$I$158="Environmental Protection",'2014-2017 Projects'!$CF$5:$CF$158,0))</f>
        <v>8000000</v>
      </c>
    </row>
    <row r="168" spans="1:41" ht="13.5">
      <c r="A168" s="178" t="s">
        <v>328</v>
      </c>
      <c r="B168" s="179" t="e">
        <f>SUM(B169:B172)</f>
        <v>#REF!</v>
      </c>
      <c r="C168" s="179" t="e">
        <f>SUM(C169:C172)</f>
        <v>#REF!</v>
      </c>
      <c r="D168" s="179" t="e">
        <f>SUM(D169:D172)</f>
        <v>#REF!</v>
      </c>
      <c r="E168" s="179" t="e">
        <f>SUM(E169:E172)</f>
        <v>#REF!</v>
      </c>
      <c r="F168" s="179" t="e">
        <f>SUM(F169:F172)</f>
        <v>#REF!</v>
      </c>
      <c r="G168" s="179"/>
      <c r="H168" s="179">
        <f>SUM(H169:H172)</f>
        <v>503195618</v>
      </c>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f>SUM(AN169:AN172)</f>
        <v>518210100</v>
      </c>
      <c r="AO168" s="179">
        <f>SUM(AO169:AO172)</f>
        <v>424912415</v>
      </c>
    </row>
    <row r="169" spans="1:41" ht="13.5">
      <c r="A169" s="180" t="s">
        <v>14</v>
      </c>
      <c r="B169" s="181" t="e">
        <f t="array" ref="B169">SUM(IF('[5]2013-2016 Projects'!$D$4:$D$202="Electricity",'[5]2013-2016 Projects'!$V$4:$V$202,0))</f>
        <v>#REF!</v>
      </c>
      <c r="C169" s="181" t="e">
        <f t="array" ref="C169">SUM(IF('[5]2013-2016 Projects'!$D$4:$D$202="Electricity",'[5]2013-2016 Projects'!$V$4:$V$202,0))</f>
        <v>#REF!</v>
      </c>
      <c r="D169" s="181" t="e">
        <f t="array" ref="D169">SUM(IF('[5]2013-2016 Projects'!$D$4:$D$202="Electricity",'[5]2013-2016 Projects'!$V$4:$V$202,0))</f>
        <v>#REF!</v>
      </c>
      <c r="E169" s="181" t="e">
        <f t="array" ref="E169">SUM(IF('[5]2013-2016 Projects'!$D$4:$D$202="Electricity",'[5]2013-2016 Projects'!$V$4:$V$202,0))</f>
        <v>#REF!</v>
      </c>
      <c r="F169" s="181" t="e">
        <f t="array" ref="F169">SUM(IF('[5]2013-2016 Projects'!$D$4:$D$202="Electricity",'[5]2013-2016 Projects'!$V$4:$V$202,0))</f>
        <v>#REF!</v>
      </c>
      <c r="G169" s="181"/>
      <c r="H169" s="181">
        <f t="array" ref="H169">SUM(IF('2014-2017 Projects'!$I$5:$I$158="Electricity",'2014-2017 Projects'!$AK$5:$AK$158,0))</f>
        <v>152999000</v>
      </c>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f t="array" ref="AN169">SUM(IF('2014-2017 Projects'!$I$5:$I$158="Electricity",'2014-2017 Projects'!$CE$5:$CE$158,0))</f>
        <v>160500000</v>
      </c>
      <c r="AO169" s="181">
        <f t="array" ref="AO169">SUM(IF('2014-2017 Projects'!$I$5:$I$158="Electricity",'2014-2017 Projects'!$CF$5:$CF$158,0))</f>
        <v>166500000</v>
      </c>
    </row>
    <row r="170" spans="1:41" ht="13.5">
      <c r="A170" s="180" t="s">
        <v>35</v>
      </c>
      <c r="B170" s="181" t="e">
        <f t="array" ref="B170">SUM(IF('[5]2013-2016 Projects'!$D$4:$D$202="Water",'[5]2013-2016 Projects'!$V$4:$V$202,0))</f>
        <v>#REF!</v>
      </c>
      <c r="C170" s="181" t="e">
        <f t="array" ref="C170">SUM(IF('[5]2013-2016 Projects'!$D$4:$D$202="Water",'[5]2013-2016 Projects'!$V$4:$V$202,0))</f>
        <v>#REF!</v>
      </c>
      <c r="D170" s="181" t="e">
        <f t="array" ref="D170">SUM(IF('[5]2013-2016 Projects'!$D$4:$D$202="Water",'[5]2013-2016 Projects'!$V$4:$V$202,0))</f>
        <v>#REF!</v>
      </c>
      <c r="E170" s="181" t="e">
        <f t="array" ref="E170">SUM(IF('[5]2013-2016 Projects'!$D$4:$D$202="Water",'[5]2013-2016 Projects'!$V$4:$V$202,0))</f>
        <v>#REF!</v>
      </c>
      <c r="F170" s="181" t="e">
        <f t="array" ref="F170">SUM(IF('[5]2013-2016 Projects'!$D$4:$D$202="Water",'[5]2013-2016 Projects'!$V$4:$V$202,0))</f>
        <v>#REF!</v>
      </c>
      <c r="G170" s="181"/>
      <c r="H170" s="181">
        <f t="array" ref="H170">SUM(IF('2014-2017 Projects'!$I$5:$I$158="Water",'2014-2017 Projects'!$AK$5:$AK$158,0))</f>
        <v>97688726</v>
      </c>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f t="array" ref="AN170">SUM(IF('2014-2017 Projects'!$I$5:$I$158="Water",'2014-2017 Projects'!$CE$5:$CE$158,0))</f>
        <v>91000000</v>
      </c>
      <c r="AO170" s="181">
        <f t="array" ref="AO170">SUM(IF('2014-2017 Projects'!$I$5:$I$158="Water",'2014-2017 Projects'!$CF$5:$CF$158,0))</f>
        <v>91000000</v>
      </c>
    </row>
    <row r="171" spans="1:41" ht="13.5">
      <c r="A171" s="180" t="s">
        <v>329</v>
      </c>
      <c r="B171" s="181" t="e">
        <f t="array" ref="B171">SUM(IF('[5]2013-2016 Projects'!$D$4:$D$202="Waste water management",'[5]2013-2016 Projects'!$V$4:$V$202,0))</f>
        <v>#REF!</v>
      </c>
      <c r="C171" s="181" t="e">
        <f t="array" ref="C171">SUM(IF('[5]2013-2016 Projects'!$D$4:$D$202="Waste water management",'[5]2013-2016 Projects'!$V$4:$V$202,0))</f>
        <v>#REF!</v>
      </c>
      <c r="D171" s="181" t="e">
        <f t="array" ref="D171">SUM(IF('[5]2013-2016 Projects'!$D$4:$D$202="Waste water management",'[5]2013-2016 Projects'!$V$4:$V$202,0))</f>
        <v>#REF!</v>
      </c>
      <c r="E171" s="181" t="e">
        <f t="array" ref="E171">SUM(IF('[5]2013-2016 Projects'!$D$4:$D$202="Waste water management",'[5]2013-2016 Projects'!$V$4:$V$202,0))</f>
        <v>#REF!</v>
      </c>
      <c r="F171" s="181" t="e">
        <f t="array" ref="F171">SUM(IF('[5]2013-2016 Projects'!$D$4:$D$202="Waste water management",'[5]2013-2016 Projects'!$V$4:$V$202,0))</f>
        <v>#REF!</v>
      </c>
      <c r="G171" s="181"/>
      <c r="H171" s="181">
        <f t="array" ref="H171">SUM(IF('2014-2017 Projects'!$I$5:$I$158="Waste water management",'2014-2017 Projects'!$AK$5:$AK$158,0))</f>
        <v>216507892</v>
      </c>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f t="array" ref="AN171">SUM(IF('2014-2017 Projects'!$I$5:$I$158="Waste water management",'2014-2017 Projects'!$CE$5:$CE$158,0))</f>
        <v>230000000</v>
      </c>
      <c r="AO171" s="181">
        <f t="array" ref="AO171">SUM(IF('2014-2017 Projects'!$I$5:$I$158="Waste water management",'2014-2017 Projects'!$CF$5:$CF$158,0))</f>
        <v>137000000</v>
      </c>
    </row>
    <row r="172" spans="1:41" ht="13.5">
      <c r="A172" s="180" t="s">
        <v>330</v>
      </c>
      <c r="B172" s="181" t="e">
        <f t="array" ref="B172">SUM(IF('[5]2013-2016 Projects'!$D$4:$D$202="Waste management",'[5]2013-2016 Projects'!$V$4:$V$202,0))</f>
        <v>#REF!</v>
      </c>
      <c r="C172" s="181" t="e">
        <f t="array" ref="C172">SUM(IF('[5]2013-2016 Projects'!$D$4:$D$202="Waste management",'[5]2013-2016 Projects'!$V$4:$V$202,0))</f>
        <v>#REF!</v>
      </c>
      <c r="D172" s="181" t="e">
        <f t="array" ref="D172">SUM(IF('[5]2013-2016 Projects'!$D$4:$D$202="Waste management",'[5]2013-2016 Projects'!$V$4:$V$202,0))</f>
        <v>#REF!</v>
      </c>
      <c r="E172" s="181" t="e">
        <f t="array" ref="E172">SUM(IF('[5]2013-2016 Projects'!$D$4:$D$202="Waste management",'[5]2013-2016 Projects'!$V$4:$V$202,0))</f>
        <v>#REF!</v>
      </c>
      <c r="F172" s="181" t="e">
        <f t="array" ref="F172">SUM(IF('[5]2013-2016 Projects'!$D$4:$D$202="Waste management",'[5]2013-2016 Projects'!$V$4:$V$202,0))</f>
        <v>#REF!</v>
      </c>
      <c r="G172" s="181"/>
      <c r="H172" s="181">
        <f t="array" ref="H172">SUM(IF('2014-2017 Projects'!$I$5:$I$158="Waste Management",'2014-2017 Projects'!$AK$5:$AK$158,0))</f>
        <v>36000000</v>
      </c>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f t="array" ref="AN172">SUM(IF('2014-2017 Projects'!$I$5:$I$158="Waste Management",'2014-2017 Projects'!$CE$5:$CE$158,0))</f>
        <v>36710100</v>
      </c>
      <c r="AO172" s="181">
        <f t="array" ref="AO172">SUM(IF('2014-2017 Projects'!$I$5:$I$158="Waste Management",'2014-2017 Projects'!$CF$5:$CF$158,0))</f>
        <v>30412415</v>
      </c>
    </row>
    <row r="173" spans="1:41" ht="13.5">
      <c r="A173" s="178" t="s">
        <v>36</v>
      </c>
      <c r="B173" s="181" t="e">
        <f t="array" ref="B173">SUM(IF('[5]2013-2016 Projects'!$D$4:$D$202="Other",'[5]2013-2016 Projects'!$V$4:$V$202,0))</f>
        <v>#REF!</v>
      </c>
      <c r="C173" s="181" t="e">
        <f t="array" ref="C173">SUM(IF('[5]2013-2016 Projects'!$D$4:$D$202="Other",'[5]2013-2016 Projects'!$V$4:$V$202,0))</f>
        <v>#REF!</v>
      </c>
      <c r="D173" s="181" t="e">
        <f t="array" ref="D173">SUM(IF('[5]2013-2016 Projects'!$D$4:$D$202="Other",'[5]2013-2016 Projects'!$V$4:$V$202,0))</f>
        <v>#REF!</v>
      </c>
      <c r="E173" s="181" t="e">
        <f t="array" ref="E173">SUM(IF('[5]2013-2016 Projects'!$D$4:$D$202="Other",'[5]2013-2016 Projects'!$V$4:$V$202,0))</f>
        <v>#REF!</v>
      </c>
      <c r="F173" s="181" t="e">
        <f t="array" ref="F173">SUM(IF('[5]2013-2016 Projects'!$D$4:$D$202="Other",'[5]2013-2016 Projects'!$V$4:$V$202,0))</f>
        <v>#REF!</v>
      </c>
      <c r="G173" s="181"/>
      <c r="H173" s="181">
        <f t="array" ref="H173">SUM(IF('2014-2017 Projects'!$I$5:$I$158="Other",'2014-2017 Projects'!$AK$5:$AK$158,0))</f>
        <v>500000</v>
      </c>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f t="array" ref="AN173">SUM(IF('2014-2017 Projects'!$I$5:$I$158="Other",'2014-2017 Projects'!$CE$5:$CE$158,0))</f>
        <v>500000</v>
      </c>
      <c r="AO173" s="181">
        <f t="array" ref="AO173">SUM(IF('2014-2017 Projects'!$I$5:$I$158="Other",'2014-2017 Projects'!$CF$5:$CF$158,0))</f>
        <v>500000</v>
      </c>
    </row>
    <row r="174" spans="1:41" ht="13.5">
      <c r="A174" s="183" t="s">
        <v>331</v>
      </c>
      <c r="B174" s="184" t="e">
        <f>B154+B158+B164+B168+B173</f>
        <v>#REF!</v>
      </c>
      <c r="C174" s="184" t="e">
        <f>C154+C158+C164+C168+C173</f>
        <v>#REF!</v>
      </c>
      <c r="D174" s="184" t="e">
        <f>D154+D158+D164+D168+D173</f>
        <v>#REF!</v>
      </c>
      <c r="E174" s="184" t="e">
        <f>E154+E158+E164+E168+E173</f>
        <v>#REF!</v>
      </c>
      <c r="F174" s="184" t="e">
        <f>F154+F158+F164+F168+F173</f>
        <v>#REF!</v>
      </c>
      <c r="G174" s="184"/>
      <c r="H174" s="184">
        <f>H154+H158+H164+H168+H173</f>
        <v>942007423</v>
      </c>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f>AN154+AN158+AN164+AN168+AN173</f>
        <v>1024127261</v>
      </c>
      <c r="AO174" s="184">
        <f>AO154+AO158+AO164+AO168+AO173</f>
        <v>1069226151</v>
      </c>
    </row>
    <row r="175" spans="1:41" ht="13.5">
      <c r="A175" s="185"/>
      <c r="B175" s="186"/>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6"/>
      <c r="AB175" s="186"/>
      <c r="AC175" s="186"/>
      <c r="AD175" s="186"/>
      <c r="AE175" s="186"/>
      <c r="AF175" s="186"/>
      <c r="AG175" s="186"/>
      <c r="AH175" s="186"/>
      <c r="AI175" s="186"/>
      <c r="AJ175" s="186"/>
      <c r="AK175" s="186"/>
      <c r="AL175" s="186"/>
      <c r="AM175" s="186"/>
      <c r="AN175" s="186"/>
      <c r="AO175" s="186"/>
    </row>
    <row r="176" spans="1:41" ht="13.5">
      <c r="A176" s="175" t="s">
        <v>332</v>
      </c>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77"/>
      <c r="AN176" s="177"/>
      <c r="AO176" s="177"/>
    </row>
    <row r="177" spans="1:41" ht="13.5">
      <c r="A177" s="188" t="s">
        <v>333</v>
      </c>
      <c r="B177" s="182" t="e">
        <f t="array" ref="B177">SUM(IF(#REF!="N",$C$5:$C$12,0))</f>
        <v>#REF!</v>
      </c>
      <c r="C177" s="182" t="e">
        <f t="array" ref="C177">SUM(IF(#REF!="N",$C$5:$C$12,0))</f>
        <v>#REF!</v>
      </c>
      <c r="D177" s="182" t="e">
        <f t="array" ref="D177">SUM(IF(#REF!="N",$C$5:$C$12,0))</f>
        <v>#REF!</v>
      </c>
      <c r="E177" s="182" t="e">
        <f t="array" ref="E177">SUM(IF(#REF!="N",$C$5:$C$12,0))</f>
        <v>#REF!</v>
      </c>
      <c r="F177" s="182" t="e">
        <f t="array" ref="F177">SUM(IF(#REF!="N",$C$5:$C$12,0))</f>
        <v>#REF!</v>
      </c>
      <c r="G177" s="182"/>
      <c r="H177" s="182">
        <f t="array" ref="H177">SUM(IF($AS$5:$AS$16="N",$H$5:$H$16,0))</f>
        <v>671924500</v>
      </c>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182"/>
      <c r="AK177" s="182"/>
      <c r="AL177" s="182"/>
      <c r="AM177" s="182"/>
      <c r="AN177" s="182">
        <f t="array" ref="AN177">SUM(IF($AS$5:$AS$16="N",$AN$5:$AN$16,0))</f>
        <v>707288100</v>
      </c>
      <c r="AO177" s="182">
        <f t="array" ref="AO177">SUM(IF($AS$5:$AS$16="N",$AO$5:$AO$16,0))</f>
        <v>735371100</v>
      </c>
    </row>
    <row r="178" spans="1:41" ht="13.5">
      <c r="A178" s="188" t="s">
        <v>334</v>
      </c>
      <c r="B178" s="182" t="e">
        <f t="array" ref="B178">SUM(IF(#REF!="P",$C$5:$C$12,0))</f>
        <v>#REF!</v>
      </c>
      <c r="C178" s="182" t="e">
        <f t="array" ref="C178">SUM(IF(#REF!="P",$C$5:$C$12,0))</f>
        <v>#REF!</v>
      </c>
      <c r="D178" s="182" t="e">
        <f t="array" ref="D178">SUM(IF(#REF!="P",$C$5:$C$12,0))</f>
        <v>#REF!</v>
      </c>
      <c r="E178" s="182" t="e">
        <f t="array" ref="E178">SUM(IF(#REF!="P",$C$5:$C$12,0))</f>
        <v>#REF!</v>
      </c>
      <c r="F178" s="182" t="e">
        <f t="array" ref="F178">SUM(IF(#REF!="P",$C$5:$C$12,0))</f>
        <v>#REF!</v>
      </c>
      <c r="G178" s="182"/>
      <c r="H178" s="182">
        <f t="array" ref="H178">SUM(IF($AS$5:$AS$16="P",$H$5:$H$16,0))</f>
        <v>28857226</v>
      </c>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182"/>
      <c r="AM178" s="182"/>
      <c r="AN178" s="182">
        <f t="array" ref="AN178">SUM(IF($AS$5:$AS$16="P",$AN$5:$AN$16,0))</f>
        <v>57968500</v>
      </c>
      <c r="AO178" s="182">
        <f t="array" ref="AO178">SUM(IF($AS$5:$AS$16="P",$AO$5:$AO$16,0))</f>
        <v>59300000</v>
      </c>
    </row>
    <row r="179" spans="1:41" ht="13.5">
      <c r="A179" s="188" t="s">
        <v>335</v>
      </c>
      <c r="B179" s="189">
        <v>0</v>
      </c>
      <c r="C179" s="189">
        <v>0</v>
      </c>
      <c r="D179" s="189">
        <v>0</v>
      </c>
      <c r="E179" s="189">
        <v>0</v>
      </c>
      <c r="F179" s="189">
        <v>0</v>
      </c>
      <c r="G179" s="189"/>
      <c r="H179" s="189">
        <v>0</v>
      </c>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v>0</v>
      </c>
      <c r="AO179" s="189">
        <v>0</v>
      </c>
    </row>
    <row r="180" spans="1:41" ht="13.5">
      <c r="A180" s="190" t="s">
        <v>336</v>
      </c>
      <c r="B180" s="189">
        <v>0</v>
      </c>
      <c r="C180" s="189">
        <v>0</v>
      </c>
      <c r="D180" s="189">
        <v>0</v>
      </c>
      <c r="E180" s="189">
        <v>0</v>
      </c>
      <c r="F180" s="189">
        <v>0</v>
      </c>
      <c r="G180" s="189"/>
      <c r="H180" s="189">
        <v>0</v>
      </c>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189"/>
      <c r="AL180" s="189"/>
      <c r="AM180" s="189"/>
      <c r="AN180" s="189">
        <v>0</v>
      </c>
      <c r="AO180" s="189">
        <v>0</v>
      </c>
    </row>
    <row r="181" spans="1:41" ht="13.5">
      <c r="A181" s="191" t="s">
        <v>337</v>
      </c>
      <c r="B181" s="192" t="e">
        <f>SUM(B177:B180)</f>
        <v>#REF!</v>
      </c>
      <c r="C181" s="192" t="e">
        <f>SUM(C177:C180)</f>
        <v>#REF!</v>
      </c>
      <c r="D181" s="192" t="e">
        <f>SUM(D177:D180)</f>
        <v>#REF!</v>
      </c>
      <c r="E181" s="192" t="e">
        <f>SUM(E177:E180)</f>
        <v>#REF!</v>
      </c>
      <c r="F181" s="192" t="e">
        <f>SUM(F177:F180)</f>
        <v>#REF!</v>
      </c>
      <c r="G181" s="192"/>
      <c r="H181" s="192">
        <f>SUM(H177:H180)</f>
        <v>700781726</v>
      </c>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f>SUM(AN177:AN180)</f>
        <v>765256600</v>
      </c>
      <c r="AO181" s="192">
        <f>SUM(AO177:AO180)</f>
        <v>794671100</v>
      </c>
    </row>
    <row r="182" spans="1:41" ht="13.5">
      <c r="A182" s="193" t="s">
        <v>338</v>
      </c>
      <c r="B182" s="182" t="e">
        <f t="array" ref="B182">SUM(IF(#REF!="D",$C$5:$C$12,0))</f>
        <v>#REF!</v>
      </c>
      <c r="C182" s="182" t="e">
        <f t="array" ref="C182">SUM(IF(#REF!="D",$C$5:$C$12,0))</f>
        <v>#REF!</v>
      </c>
      <c r="D182" s="182" t="e">
        <f t="array" ref="D182">SUM(IF(#REF!="D",$C$5:$C$12,0))</f>
        <v>#REF!</v>
      </c>
      <c r="E182" s="182" t="e">
        <f t="array" ref="E182">SUM(IF(#REF!="D",$C$5:$C$12,0))</f>
        <v>#REF!</v>
      </c>
      <c r="F182" s="182" t="e">
        <f t="array" ref="F182">SUM(IF(#REF!="D",$C$5:$C$12,0))</f>
        <v>#REF!</v>
      </c>
      <c r="G182" s="182"/>
      <c r="H182" s="182">
        <f t="array" ref="H182">SUM(IF($AS$5:$AS$16="D",$H$5:$H$16,0))</f>
        <v>0</v>
      </c>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182"/>
      <c r="AE182" s="182"/>
      <c r="AF182" s="182"/>
      <c r="AG182" s="182"/>
      <c r="AH182" s="182"/>
      <c r="AI182" s="182"/>
      <c r="AJ182" s="182"/>
      <c r="AK182" s="182"/>
      <c r="AL182" s="182"/>
      <c r="AM182" s="182"/>
      <c r="AN182" s="182">
        <f t="array" ref="AN182">SUM(IF($AS$5:$AS$16="D",$AN$5:$AN$16,0))</f>
        <v>0</v>
      </c>
      <c r="AO182" s="182">
        <f t="array" ref="AO182">SUM(IF($AS$5:$AS$16="D",$AO$5:$AO$16,0))</f>
        <v>0</v>
      </c>
    </row>
    <row r="183" spans="1:41" ht="13.5">
      <c r="A183" s="193" t="s">
        <v>339</v>
      </c>
      <c r="B183" s="189">
        <v>0</v>
      </c>
      <c r="C183" s="189">
        <v>0</v>
      </c>
      <c r="D183" s="189">
        <v>0</v>
      </c>
      <c r="E183" s="189">
        <v>0</v>
      </c>
      <c r="F183" s="189">
        <v>0</v>
      </c>
      <c r="G183" s="189"/>
      <c r="H183" s="182">
        <v>0</v>
      </c>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182"/>
      <c r="AM183" s="182"/>
      <c r="AN183" s="182">
        <v>0</v>
      </c>
      <c r="AO183" s="182">
        <v>0</v>
      </c>
    </row>
    <row r="184" spans="1:41" ht="13.5">
      <c r="A184" s="193" t="s">
        <v>340</v>
      </c>
      <c r="B184" s="182" t="e">
        <f t="array" ref="B184">SUM(IF(#REF!="Own Funds",$C$5:$C$12,0))</f>
        <v>#REF!</v>
      </c>
      <c r="C184" s="182" t="e">
        <f t="array" ref="C184">SUM(IF(#REF!="Own Funds",$C$5:$C$12,0))</f>
        <v>#REF!</v>
      </c>
      <c r="D184" s="182" t="e">
        <f t="array" ref="D184">SUM(IF(#REF!="Own Funds",$C$5:$C$12,0))</f>
        <v>#REF!</v>
      </c>
      <c r="E184" s="182" t="e">
        <f t="array" ref="E184">SUM(IF(#REF!="Own Funds",$C$5:$C$12,0))</f>
        <v>#REF!</v>
      </c>
      <c r="F184" s="182" t="e">
        <f t="array" ref="F184">SUM(IF(#REF!="Own Funds",$C$5:$C$12,0))</f>
        <v>#REF!</v>
      </c>
      <c r="G184" s="182"/>
      <c r="H184" s="182">
        <f t="array" ref="H184">SUM(IF($AS$5:$AS$16="Own Funds",$H$5:$H$16,0))</f>
        <v>241225697</v>
      </c>
      <c r="I184" s="182"/>
      <c r="J184" s="182"/>
      <c r="K184" s="182"/>
      <c r="L184" s="182"/>
      <c r="M184" s="182"/>
      <c r="N184" s="182"/>
      <c r="O184" s="182"/>
      <c r="P184" s="182"/>
      <c r="Q184" s="182"/>
      <c r="R184" s="182"/>
      <c r="S184" s="182"/>
      <c r="T184" s="182"/>
      <c r="U184" s="182"/>
      <c r="V184" s="182"/>
      <c r="W184" s="182"/>
      <c r="X184" s="182"/>
      <c r="Y184" s="182"/>
      <c r="Z184" s="182"/>
      <c r="AA184" s="182"/>
      <c r="AB184" s="182"/>
      <c r="AC184" s="182"/>
      <c r="AD184" s="182"/>
      <c r="AE184" s="182"/>
      <c r="AF184" s="182"/>
      <c r="AG184" s="182"/>
      <c r="AH184" s="182"/>
      <c r="AI184" s="182"/>
      <c r="AJ184" s="182"/>
      <c r="AK184" s="182"/>
      <c r="AL184" s="182"/>
      <c r="AM184" s="182"/>
      <c r="AN184" s="182">
        <f t="array" ref="AN184">SUM(IF($AS$5:$AS$16="Own Funds",$AN$5:$AN$16,0))</f>
        <v>258870661</v>
      </c>
      <c r="AO184" s="182">
        <f t="array" ref="AO184">SUM(IF($AS$5:$AS$16="Own Funds",$AO$5:$AO$16,0))</f>
        <v>274555051</v>
      </c>
    </row>
    <row r="185" spans="1:41" ht="13.5">
      <c r="A185" s="194" t="s">
        <v>341</v>
      </c>
      <c r="B185" s="195" t="e">
        <f>SUM(B181:B184)</f>
        <v>#REF!</v>
      </c>
      <c r="C185" s="195" t="e">
        <f>SUM(C181:C184)</f>
        <v>#REF!</v>
      </c>
      <c r="D185" s="195" t="e">
        <f>SUM(D181:D184)</f>
        <v>#REF!</v>
      </c>
      <c r="E185" s="195" t="e">
        <f>SUM(E181:E184)</f>
        <v>#REF!</v>
      </c>
      <c r="F185" s="195" t="e">
        <f>SUM(F181:F184)</f>
        <v>#REF!</v>
      </c>
      <c r="G185" s="195"/>
      <c r="H185" s="195">
        <f>SUM(H181:H184)</f>
        <v>942007423</v>
      </c>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c r="AG185" s="195"/>
      <c r="AH185" s="195"/>
      <c r="AI185" s="195"/>
      <c r="AJ185" s="195"/>
      <c r="AK185" s="195"/>
      <c r="AL185" s="195"/>
      <c r="AM185" s="195"/>
      <c r="AN185" s="195">
        <f>SUM(AN181:AN184)</f>
        <v>1024127261</v>
      </c>
      <c r="AO185" s="195">
        <f>SUM(AO181:AO184)</f>
        <v>1069226151</v>
      </c>
    </row>
    <row r="186" spans="1:41">
      <c r="A186" s="196"/>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c r="AM186" s="135"/>
      <c r="AN186" s="135"/>
      <c r="AO186" s="135"/>
    </row>
    <row r="187" spans="1:41">
      <c r="A187" s="196"/>
      <c r="B187" s="196"/>
      <c r="C187" s="196"/>
      <c r="D187" s="196"/>
      <c r="E187" s="196"/>
      <c r="F187" s="196"/>
      <c r="G187" s="196"/>
      <c r="H187" s="313" t="s">
        <v>403</v>
      </c>
      <c r="I187" s="313"/>
      <c r="J187" s="313"/>
      <c r="K187" s="313"/>
      <c r="L187" s="313"/>
      <c r="M187" s="313"/>
      <c r="N187" s="313"/>
      <c r="O187" s="313"/>
      <c r="P187" s="313"/>
      <c r="Q187" s="313"/>
      <c r="R187" s="313"/>
      <c r="S187" s="313"/>
      <c r="T187" s="313"/>
      <c r="U187" s="313"/>
      <c r="V187" s="313"/>
      <c r="W187" s="313"/>
      <c r="X187" s="313"/>
      <c r="Y187" s="313"/>
      <c r="Z187" s="313"/>
      <c r="AA187" s="313"/>
      <c r="AB187" s="313"/>
      <c r="AC187" s="313"/>
      <c r="AD187" s="313"/>
      <c r="AE187" s="313"/>
      <c r="AF187" s="313"/>
      <c r="AG187" s="313"/>
      <c r="AH187" s="313"/>
      <c r="AI187" s="313"/>
      <c r="AJ187" s="313"/>
      <c r="AK187" s="313"/>
      <c r="AL187" s="313"/>
      <c r="AM187" s="313"/>
      <c r="AN187" s="196"/>
      <c r="AO187" s="196"/>
    </row>
    <row r="188" spans="1:41" ht="22.5">
      <c r="A188" s="201" t="s">
        <v>346</v>
      </c>
      <c r="B188" s="309" t="s">
        <v>318</v>
      </c>
      <c r="C188" s="309" t="s">
        <v>318</v>
      </c>
      <c r="D188" s="309" t="s">
        <v>318</v>
      </c>
      <c r="E188" s="309" t="s">
        <v>318</v>
      </c>
      <c r="F188" s="309" t="s">
        <v>318</v>
      </c>
      <c r="G188" s="173"/>
      <c r="H188" s="174" t="s">
        <v>319</v>
      </c>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t="s">
        <v>319</v>
      </c>
      <c r="AO188" s="174" t="s">
        <v>319</v>
      </c>
    </row>
    <row r="189" spans="1:41" ht="13.5">
      <c r="A189" s="202" t="s">
        <v>347</v>
      </c>
      <c r="B189" s="203"/>
      <c r="C189" s="203"/>
      <c r="D189" s="203"/>
      <c r="E189" s="203"/>
      <c r="F189" s="203"/>
      <c r="G189" s="203"/>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row>
    <row r="190" spans="1:41" ht="13.5">
      <c r="A190" s="205"/>
      <c r="B190" s="206"/>
      <c r="C190" s="206"/>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row>
    <row r="191" spans="1:41" ht="13.5">
      <c r="A191" s="205" t="s">
        <v>0</v>
      </c>
      <c r="B191" s="207" t="e">
        <f>B192+B195+B199+B203+B206</f>
        <v>#REF!</v>
      </c>
      <c r="C191" s="207" t="e">
        <f>C192+C195+C199+C203+C206</f>
        <v>#REF!</v>
      </c>
      <c r="D191" s="207" t="e">
        <f>D192+D195+D199+D203+D206</f>
        <v>#REF!</v>
      </c>
      <c r="E191" s="207" t="e">
        <f>E192+E195+E199+E203+E206</f>
        <v>#REF!</v>
      </c>
      <c r="F191" s="207" t="e">
        <f>F192+F195+F199+F203+F206</f>
        <v>#REF!</v>
      </c>
      <c r="G191" s="207"/>
      <c r="H191" s="207">
        <f>H192+H195+H199+H203+H206</f>
        <v>225500000</v>
      </c>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f>AN192+AN195+AN199+AN203+AN206</f>
        <v>217210100</v>
      </c>
      <c r="AO191" s="207">
        <f>AO192+AO195+AO199+AO203+AO206</f>
        <v>220412415</v>
      </c>
    </row>
    <row r="192" spans="1:41" ht="13.5">
      <c r="A192" s="198" t="s">
        <v>348</v>
      </c>
      <c r="B192" s="208" t="e">
        <f>SUM(B193:B194)</f>
        <v>#REF!</v>
      </c>
      <c r="C192" s="208" t="e">
        <f>SUM(C193:C194)</f>
        <v>#REF!</v>
      </c>
      <c r="D192" s="208" t="e">
        <f>SUM(D193:D194)</f>
        <v>#REF!</v>
      </c>
      <c r="E192" s="208" t="e">
        <f>SUM(E193:E194)</f>
        <v>#REF!</v>
      </c>
      <c r="F192" s="208" t="e">
        <f>SUM(F193:F194)</f>
        <v>#REF!</v>
      </c>
      <c r="G192" s="208"/>
      <c r="H192" s="208">
        <f>SUM(H193:H194)</f>
        <v>110000000</v>
      </c>
      <c r="I192" s="208"/>
      <c r="J192" s="208"/>
      <c r="K192" s="208"/>
      <c r="L192" s="208"/>
      <c r="M192" s="208"/>
      <c r="N192" s="208"/>
      <c r="O192" s="208"/>
      <c r="P192" s="208"/>
      <c r="Q192" s="208"/>
      <c r="R192" s="208"/>
      <c r="S192" s="208"/>
      <c r="T192" s="208"/>
      <c r="U192" s="208"/>
      <c r="V192" s="208"/>
      <c r="W192" s="208"/>
      <c r="X192" s="208"/>
      <c r="Y192" s="208"/>
      <c r="Z192" s="208"/>
      <c r="AA192" s="208"/>
      <c r="AB192" s="208"/>
      <c r="AC192" s="208"/>
      <c r="AD192" s="208"/>
      <c r="AE192" s="208"/>
      <c r="AF192" s="208"/>
      <c r="AG192" s="208"/>
      <c r="AH192" s="208"/>
      <c r="AI192" s="208"/>
      <c r="AJ192" s="208"/>
      <c r="AK192" s="208"/>
      <c r="AL192" s="208"/>
      <c r="AM192" s="208"/>
      <c r="AN192" s="208">
        <f>SUM(AN193:AN194)</f>
        <v>90000000</v>
      </c>
      <c r="AO192" s="208">
        <f>SUM(AO193:AO194)</f>
        <v>80000000</v>
      </c>
    </row>
    <row r="193" spans="1:41" ht="13.5">
      <c r="A193" s="209" t="s">
        <v>349</v>
      </c>
      <c r="B193" s="181" t="e">
        <f t="array" ref="B193">SUM(IF('[5]2013-2016 Projects'!$O$4:$O$202="New-30",'[5]2013-2016 Projects'!$V$4:$V$202,0))</f>
        <v>#REF!</v>
      </c>
      <c r="C193" s="181" t="e">
        <f t="array" ref="C193">SUM(IF('[5]2013-2016 Projects'!$O$4:$O$202="New-30",'[5]2013-2016 Projects'!$V$4:$V$202,0))</f>
        <v>#REF!</v>
      </c>
      <c r="D193" s="181" t="e">
        <f t="array" ref="D193">SUM(IF('[5]2013-2016 Projects'!$O$4:$O$202="New-30",'[5]2013-2016 Projects'!$V$4:$V$202,0))</f>
        <v>#REF!</v>
      </c>
      <c r="E193" s="181" t="e">
        <f t="array" ref="E193">SUM(IF('[5]2013-2016 Projects'!$O$4:$O$202="New-30",'[5]2013-2016 Projects'!$V$4:$V$202,0))</f>
        <v>#REF!</v>
      </c>
      <c r="F193" s="181" t="e">
        <f t="array" ref="F193">SUM(IF('[5]2013-2016 Projects'!$O$4:$O$202="New-30",'[5]2013-2016 Projects'!$V$4:$V$202,0))</f>
        <v>#REF!</v>
      </c>
      <c r="G193" s="181"/>
      <c r="H193" s="181">
        <f t="array" ref="H193">SUM(IF('2014-2017 Projects'!$T$5:$T$158="New-30",'2014-2017 Projects'!$AK$5:$AK$158,0))</f>
        <v>110000000</v>
      </c>
      <c r="I193" s="181"/>
      <c r="J193" s="181"/>
      <c r="K193" s="181"/>
      <c r="L193" s="181"/>
      <c r="M193" s="181"/>
      <c r="N193" s="181"/>
      <c r="O193" s="181"/>
      <c r="P193" s="181"/>
      <c r="Q193" s="181"/>
      <c r="R193" s="181"/>
      <c r="S193" s="181"/>
      <c r="T193" s="181"/>
      <c r="U193" s="181"/>
      <c r="V193" s="181"/>
      <c r="W193" s="181"/>
      <c r="X193" s="181"/>
      <c r="Y193" s="181"/>
      <c r="Z193" s="181"/>
      <c r="AA193" s="181"/>
      <c r="AB193" s="181"/>
      <c r="AC193" s="181"/>
      <c r="AD193" s="181"/>
      <c r="AE193" s="181"/>
      <c r="AF193" s="181"/>
      <c r="AG193" s="181"/>
      <c r="AH193" s="181"/>
      <c r="AI193" s="181"/>
      <c r="AJ193" s="181"/>
      <c r="AK193" s="181"/>
      <c r="AL193" s="181"/>
      <c r="AM193" s="181"/>
      <c r="AN193" s="181">
        <f t="array" ref="AN193">SUM(IF('2014-2017 Projects'!$T$5:$T$158="New-30",'2014-2017 Projects'!$CE$5:$CE$158,0))</f>
        <v>90000000</v>
      </c>
      <c r="AO193" s="181">
        <f t="array" ref="AO193">SUM(IF('2014-2017 Projects'!$T$5:$T$158="New-30",'2014-2017 Projects'!$CF$5:$CF$158,0))</f>
        <v>80000000</v>
      </c>
    </row>
    <row r="194" spans="1:41" ht="13.5">
      <c r="A194" s="209" t="s">
        <v>350</v>
      </c>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181"/>
      <c r="AE194" s="181"/>
      <c r="AF194" s="181"/>
      <c r="AG194" s="181"/>
      <c r="AH194" s="181"/>
      <c r="AI194" s="181"/>
      <c r="AJ194" s="181"/>
      <c r="AK194" s="181"/>
      <c r="AL194" s="181"/>
      <c r="AM194" s="181"/>
      <c r="AN194" s="181"/>
      <c r="AO194" s="181"/>
    </row>
    <row r="195" spans="1:41" ht="13.5">
      <c r="A195" s="198" t="s">
        <v>351</v>
      </c>
      <c r="B195" s="199" t="e">
        <f>SUM(B196:B198)</f>
        <v>#REF!</v>
      </c>
      <c r="C195" s="199" t="e">
        <f>SUM(C196:C198)</f>
        <v>#REF!</v>
      </c>
      <c r="D195" s="199" t="e">
        <f>SUM(D196:D198)</f>
        <v>#REF!</v>
      </c>
      <c r="E195" s="199" t="e">
        <f>SUM(E196:E198)</f>
        <v>#REF!</v>
      </c>
      <c r="F195" s="199" t="e">
        <f>SUM(F196:F198)</f>
        <v>#REF!</v>
      </c>
      <c r="G195" s="199"/>
      <c r="H195" s="199">
        <f>SUM(H196:H198)</f>
        <v>45500000</v>
      </c>
      <c r="I195" s="199"/>
      <c r="J195" s="199"/>
      <c r="K195" s="199"/>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f>SUM(AN196:AN198)</f>
        <v>50500000</v>
      </c>
      <c r="AO195" s="199">
        <f>SUM(AO196:AO198)</f>
        <v>40500000</v>
      </c>
    </row>
    <row r="196" spans="1:41" ht="13.5">
      <c r="A196" s="209" t="s">
        <v>352</v>
      </c>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c r="AB196" s="181"/>
      <c r="AC196" s="181"/>
      <c r="AD196" s="181"/>
      <c r="AE196" s="181"/>
      <c r="AF196" s="181"/>
      <c r="AG196" s="181"/>
      <c r="AH196" s="181"/>
      <c r="AI196" s="181"/>
      <c r="AJ196" s="181"/>
      <c r="AK196" s="181"/>
      <c r="AL196" s="181"/>
      <c r="AM196" s="181"/>
      <c r="AN196" s="181"/>
      <c r="AO196" s="181"/>
    </row>
    <row r="197" spans="1:41" ht="13.5">
      <c r="A197" s="209" t="s">
        <v>353</v>
      </c>
      <c r="B197" s="181" t="e">
        <f t="array" ref="B197">SUM(IF('[5]2013-2016 Projects'!$O$4:$O$202="New-60",'[5]2013-2016 Projects'!$V$4:$V$202,0))</f>
        <v>#REF!</v>
      </c>
      <c r="C197" s="181" t="e">
        <f t="array" ref="C197">SUM(IF('[5]2013-2016 Projects'!$O$4:$O$202="New-60",'[5]2013-2016 Projects'!$V$4:$V$202,0))</f>
        <v>#REF!</v>
      </c>
      <c r="D197" s="181" t="e">
        <f t="array" ref="D197">SUM(IF('[5]2013-2016 Projects'!$O$4:$O$202="New-60",'[5]2013-2016 Projects'!$V$4:$V$202,0))</f>
        <v>#REF!</v>
      </c>
      <c r="E197" s="181" t="e">
        <f t="array" ref="E197">SUM(IF('[5]2013-2016 Projects'!$O$4:$O$202="New-60",'[5]2013-2016 Projects'!$V$4:$V$202,0))</f>
        <v>#REF!</v>
      </c>
      <c r="F197" s="181" t="e">
        <f t="array" ref="F197">SUM(IF('[5]2013-2016 Projects'!$O$4:$O$202="New-60",'[5]2013-2016 Projects'!$V$4:$V$202,0))</f>
        <v>#REF!</v>
      </c>
      <c r="G197" s="181"/>
      <c r="H197" s="181">
        <f t="array" ref="H197">SUM(IF('2014-2017 Projects'!$T$5:$T$158="New-60",'2014-2017 Projects'!$AK$5:$AK$158,0))</f>
        <v>45500000</v>
      </c>
      <c r="I197" s="181"/>
      <c r="J197" s="181"/>
      <c r="K197" s="181"/>
      <c r="L197" s="181"/>
      <c r="M197" s="181"/>
      <c r="N197" s="181"/>
      <c r="O197" s="181"/>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1"/>
      <c r="AK197" s="181"/>
      <c r="AL197" s="181"/>
      <c r="AM197" s="181"/>
      <c r="AN197" s="181">
        <f t="array" ref="AN197">SUM(IF('2014-2017 Projects'!$T$5:$T$158="New-60",'2014-2017 Projects'!$CE$5:$CE$158,0))</f>
        <v>50500000</v>
      </c>
      <c r="AO197" s="181">
        <f t="array" ref="AO197">SUM(IF('2014-2017 Projects'!$T$5:$T$158="New-60",'2014-2017 Projects'!$CF$5:$CF$158,0))</f>
        <v>40500000</v>
      </c>
    </row>
    <row r="198" spans="1:41" ht="13.5">
      <c r="A198" s="209" t="s">
        <v>354</v>
      </c>
      <c r="B198" s="181" t="e">
        <f t="array" ref="B198">SUM(IF('[5]2013-2016 Projects'!$O$4:$O$202="New-90",'[5]2013-2016 Projects'!$V$4:$V$202,0))</f>
        <v>#REF!</v>
      </c>
      <c r="C198" s="181" t="e">
        <f t="array" ref="C198">SUM(IF('[5]2013-2016 Projects'!$O$4:$O$202="New-90",'[5]2013-2016 Projects'!$V$4:$V$202,0))</f>
        <v>#REF!</v>
      </c>
      <c r="D198" s="181" t="e">
        <f t="array" ref="D198">SUM(IF('[5]2013-2016 Projects'!$O$4:$O$202="New-90",'[5]2013-2016 Projects'!$V$4:$V$202,0))</f>
        <v>#REF!</v>
      </c>
      <c r="E198" s="181" t="e">
        <f t="array" ref="E198">SUM(IF('[5]2013-2016 Projects'!$O$4:$O$202="New-90",'[5]2013-2016 Projects'!$V$4:$V$202,0))</f>
        <v>#REF!</v>
      </c>
      <c r="F198" s="181" t="e">
        <f t="array" ref="F198">SUM(IF('[5]2013-2016 Projects'!$O$4:$O$202="New-90",'[5]2013-2016 Projects'!$V$4:$V$202,0))</f>
        <v>#REF!</v>
      </c>
      <c r="G198" s="181"/>
      <c r="H198" s="181">
        <f t="array" ref="H198">SUM(IF('2014-2017 Projects'!$T$5:$T$158="New-90",'2014-2017 Projects'!$AK$5:$AK$158,0))</f>
        <v>0</v>
      </c>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f t="array" ref="AN198">SUM(IF('2014-2017 Projects'!$T$5:$T$158="New-90",'2014-2017 Projects'!$CE$5:$CE$158,0))</f>
        <v>0</v>
      </c>
      <c r="AO198" s="181">
        <f t="array" ref="AO198">SUM(IF('2014-2017 Projects'!$T$5:$T$158="New-90",'2014-2017 Projects'!$CF$5:$CF$158,0))</f>
        <v>0</v>
      </c>
    </row>
    <row r="199" spans="1:41" ht="13.5">
      <c r="A199" s="197" t="s">
        <v>355</v>
      </c>
      <c r="B199" s="199" t="e">
        <f>SUM(B200:B202)</f>
        <v>#REF!</v>
      </c>
      <c r="C199" s="199" t="e">
        <f>SUM(C200:C202)</f>
        <v>#REF!</v>
      </c>
      <c r="D199" s="199" t="e">
        <f>SUM(D200:D202)</f>
        <v>#REF!</v>
      </c>
      <c r="E199" s="199" t="e">
        <f>SUM(E200:E202)</f>
        <v>#REF!</v>
      </c>
      <c r="F199" s="199" t="e">
        <f>SUM(F200:F202)</f>
        <v>#REF!</v>
      </c>
      <c r="G199" s="199"/>
      <c r="H199" s="199">
        <f>SUM(H200:H202)</f>
        <v>0</v>
      </c>
      <c r="I199" s="199"/>
      <c r="J199" s="199"/>
      <c r="K199" s="199"/>
      <c r="L199" s="199"/>
      <c r="M199" s="199"/>
      <c r="N199" s="199"/>
      <c r="O199" s="199"/>
      <c r="P199" s="199"/>
      <c r="Q199" s="199"/>
      <c r="R199" s="199"/>
      <c r="S199" s="199"/>
      <c r="T199" s="199"/>
      <c r="U199" s="199"/>
      <c r="V199" s="199"/>
      <c r="W199" s="199"/>
      <c r="X199" s="199"/>
      <c r="Y199" s="199"/>
      <c r="Z199" s="199"/>
      <c r="AA199" s="199"/>
      <c r="AB199" s="199"/>
      <c r="AC199" s="199"/>
      <c r="AD199" s="199"/>
      <c r="AE199" s="199"/>
      <c r="AF199" s="199"/>
      <c r="AG199" s="199"/>
      <c r="AH199" s="199"/>
      <c r="AI199" s="199"/>
      <c r="AJ199" s="199"/>
      <c r="AK199" s="199"/>
      <c r="AL199" s="199"/>
      <c r="AM199" s="199"/>
      <c r="AN199" s="199">
        <f>SUM(AN200:AN202)</f>
        <v>0</v>
      </c>
      <c r="AO199" s="199">
        <f>SUM(AO200:AO202)</f>
        <v>0</v>
      </c>
    </row>
    <row r="200" spans="1:41" ht="13.5">
      <c r="A200" s="209" t="s">
        <v>356</v>
      </c>
      <c r="B200" s="182"/>
      <c r="C200" s="182"/>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c r="AA200" s="182"/>
      <c r="AB200" s="182"/>
      <c r="AC200" s="182"/>
      <c r="AD200" s="182"/>
      <c r="AE200" s="182"/>
      <c r="AF200" s="182"/>
      <c r="AG200" s="182"/>
      <c r="AH200" s="182"/>
      <c r="AI200" s="182"/>
      <c r="AJ200" s="182"/>
      <c r="AK200" s="182"/>
      <c r="AL200" s="182"/>
      <c r="AM200" s="182"/>
      <c r="AN200" s="182"/>
      <c r="AO200" s="182"/>
    </row>
    <row r="201" spans="1:41" ht="13.5">
      <c r="A201" s="209" t="s">
        <v>357</v>
      </c>
      <c r="B201" s="182"/>
      <c r="C201" s="182"/>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c r="AN201" s="182"/>
      <c r="AO201" s="182"/>
    </row>
    <row r="202" spans="1:41" ht="13.5">
      <c r="A202" s="209" t="s">
        <v>358</v>
      </c>
      <c r="B202" s="181" t="e">
        <f t="array" ref="B202">SUM(IF('[5]2013-2016 Projects'!$O$4:$O$202="New-40",'[5]2013-2016 Projects'!$V$4:$V$202,0))</f>
        <v>#REF!</v>
      </c>
      <c r="C202" s="181" t="e">
        <f t="array" ref="C202">SUM(IF('[5]2013-2016 Projects'!$O$4:$O$202="New-40",'[5]2013-2016 Projects'!$V$4:$V$202,0))</f>
        <v>#REF!</v>
      </c>
      <c r="D202" s="181" t="e">
        <f t="array" ref="D202">SUM(IF('[5]2013-2016 Projects'!$O$4:$O$202="New-40",'[5]2013-2016 Projects'!$V$4:$V$202,0))</f>
        <v>#REF!</v>
      </c>
      <c r="E202" s="181" t="e">
        <f t="array" ref="E202">SUM(IF('[5]2013-2016 Projects'!$O$4:$O$202="New-40",'[5]2013-2016 Projects'!$V$4:$V$202,0))</f>
        <v>#REF!</v>
      </c>
      <c r="F202" s="181" t="e">
        <f t="array" ref="F202">SUM(IF('[5]2013-2016 Projects'!$O$4:$O$202="New-40",'[5]2013-2016 Projects'!$V$4:$V$202,0))</f>
        <v>#REF!</v>
      </c>
      <c r="G202" s="181"/>
      <c r="H202" s="181">
        <f t="array" ref="H202">SUM(IF('2014-2017 Projects'!$T$5:$T$158="New-40",'2014-2017 Projects'!$AK$5:$AK$158,0))</f>
        <v>0</v>
      </c>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f t="array" ref="AN202">SUM(IF('2014-2017 Projects'!$T$5:$T$158="New-40",'2014-2017 Projects'!$CE$5:$CE$158,0))</f>
        <v>0</v>
      </c>
      <c r="AO202" s="181">
        <f t="array" ref="AO202">SUM(IF('2014-2017 Projects'!$T$5:$T$158="New-40",'2014-2017 Projects'!$CF$5:$CF$158,0))</f>
        <v>0</v>
      </c>
    </row>
    <row r="203" spans="1:41" ht="13.5">
      <c r="A203" s="197" t="s">
        <v>359</v>
      </c>
      <c r="B203" s="199" t="e">
        <f>SUM(B204:B205)</f>
        <v>#REF!</v>
      </c>
      <c r="C203" s="199" t="e">
        <f>SUM(C204:C205)</f>
        <v>#REF!</v>
      </c>
      <c r="D203" s="199" t="e">
        <f>SUM(D204:D205)</f>
        <v>#REF!</v>
      </c>
      <c r="E203" s="199" t="e">
        <f>SUM(E204:E205)</f>
        <v>#REF!</v>
      </c>
      <c r="F203" s="199" t="e">
        <f>SUM(F204:F205)</f>
        <v>#REF!</v>
      </c>
      <c r="G203" s="199"/>
      <c r="H203" s="199">
        <f>SUM(H204:H205)</f>
        <v>0</v>
      </c>
      <c r="I203" s="199"/>
      <c r="J203" s="199"/>
      <c r="K203" s="199"/>
      <c r="L203" s="199"/>
      <c r="M203" s="199"/>
      <c r="N203" s="199"/>
      <c r="O203" s="199"/>
      <c r="P203" s="199"/>
      <c r="Q203" s="199"/>
      <c r="R203" s="199"/>
      <c r="S203" s="199"/>
      <c r="T203" s="199"/>
      <c r="U203" s="199"/>
      <c r="V203" s="199"/>
      <c r="W203" s="199"/>
      <c r="X203" s="199"/>
      <c r="Y203" s="199"/>
      <c r="Z203" s="199"/>
      <c r="AA203" s="199"/>
      <c r="AB203" s="199"/>
      <c r="AC203" s="199"/>
      <c r="AD203" s="199"/>
      <c r="AE203" s="199"/>
      <c r="AF203" s="199"/>
      <c r="AG203" s="199"/>
      <c r="AH203" s="199"/>
      <c r="AI203" s="199"/>
      <c r="AJ203" s="199"/>
      <c r="AK203" s="199"/>
      <c r="AL203" s="199"/>
      <c r="AM203" s="199"/>
      <c r="AN203" s="199">
        <f>SUM(AN204:AN205)</f>
        <v>0</v>
      </c>
      <c r="AO203" s="199">
        <f>SUM(AO204:AO205)</f>
        <v>0</v>
      </c>
    </row>
    <row r="204" spans="1:41" ht="13.5">
      <c r="A204" s="209" t="s">
        <v>358</v>
      </c>
      <c r="B204" s="181" t="e">
        <f t="array" ref="B204">SUM(IF('[5]2013-2016 Projects'!$O$4:$O$202="New-70",'[5]2013-2016 Projects'!$V$4:$V$202,0))</f>
        <v>#REF!</v>
      </c>
      <c r="C204" s="181" t="e">
        <f t="array" ref="C204">SUM(IF('[5]2013-2016 Projects'!$O$4:$O$202="New-70",'[5]2013-2016 Projects'!$V$4:$V$202,0))</f>
        <v>#REF!</v>
      </c>
      <c r="D204" s="181" t="e">
        <f t="array" ref="D204">SUM(IF('[5]2013-2016 Projects'!$O$4:$O$202="New-70",'[5]2013-2016 Projects'!$V$4:$V$202,0))</f>
        <v>#REF!</v>
      </c>
      <c r="E204" s="181" t="e">
        <f t="array" ref="E204">SUM(IF('[5]2013-2016 Projects'!$O$4:$O$202="New-70",'[5]2013-2016 Projects'!$V$4:$V$202,0))</f>
        <v>#REF!</v>
      </c>
      <c r="F204" s="181" t="e">
        <f t="array" ref="F204">SUM(IF('[5]2013-2016 Projects'!$O$4:$O$202="New-70",'[5]2013-2016 Projects'!$V$4:$V$202,0))</f>
        <v>#REF!</v>
      </c>
      <c r="G204" s="181"/>
      <c r="H204" s="181">
        <f t="array" ref="H204">SUM(IF('2014-2017 Projects'!$T$5:$T$158="New-70",'2014-2017 Projects'!$AK$5:$AK$158,0))</f>
        <v>0</v>
      </c>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1"/>
      <c r="AJ204" s="181"/>
      <c r="AK204" s="181"/>
      <c r="AL204" s="181"/>
      <c r="AM204" s="181"/>
      <c r="AN204" s="181">
        <f t="array" ref="AN204">SUM(IF('2014-2017 Projects'!$T$5:$T$158="New-70",'2014-2017 Projects'!$CE$5:$CE$158,0))</f>
        <v>0</v>
      </c>
      <c r="AO204" s="181">
        <f t="array" ref="AO204">SUM(IF('2014-2017 Projects'!$T$5:$T$158="New-70",'2014-2017 Projects'!$CF$5:$CF$158,0))</f>
        <v>0</v>
      </c>
    </row>
    <row r="205" spans="1:41" ht="13.5">
      <c r="A205" s="209" t="s">
        <v>360</v>
      </c>
      <c r="B205" s="182"/>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c r="AN205" s="182"/>
      <c r="AO205" s="182"/>
    </row>
    <row r="206" spans="1:41" ht="13.5">
      <c r="A206" s="198" t="s">
        <v>361</v>
      </c>
      <c r="B206" s="199" t="e">
        <f>SUM(B207:B210)</f>
        <v>#REF!</v>
      </c>
      <c r="C206" s="199" t="e">
        <f>SUM(C207:C210)</f>
        <v>#REF!</v>
      </c>
      <c r="D206" s="199" t="e">
        <f>SUM(D207:D210)</f>
        <v>#REF!</v>
      </c>
      <c r="E206" s="199" t="e">
        <f>SUM(E207:E210)</f>
        <v>#REF!</v>
      </c>
      <c r="F206" s="199" t="e">
        <f>SUM(F207:F210)</f>
        <v>#REF!</v>
      </c>
      <c r="G206" s="199"/>
      <c r="H206" s="199">
        <f>SUM(H207:H210)</f>
        <v>70000000</v>
      </c>
      <c r="I206" s="199"/>
      <c r="J206" s="199"/>
      <c r="K206" s="199"/>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f>SUM(AN207:AN210)</f>
        <v>76710100</v>
      </c>
      <c r="AO206" s="199">
        <f>SUM(AO207:AO210)</f>
        <v>99912415</v>
      </c>
    </row>
    <row r="207" spans="1:41" ht="13.5">
      <c r="A207" s="209" t="s">
        <v>1</v>
      </c>
      <c r="B207" s="181" t="e">
        <f t="array" ref="B207">SUM(IF('[5]2013-2016 Projects'!$O$4:$O$202="New-100",'[5]2013-2016 Projects'!$V$4:$V$202,0))</f>
        <v>#REF!</v>
      </c>
      <c r="C207" s="181" t="e">
        <f t="array" ref="C207">SUM(IF('[5]2013-2016 Projects'!$O$4:$O$202="New-100",'[5]2013-2016 Projects'!$V$4:$V$202,0))</f>
        <v>#REF!</v>
      </c>
      <c r="D207" s="181" t="e">
        <f t="array" ref="D207">SUM(IF('[5]2013-2016 Projects'!$O$4:$O$202="New-100",'[5]2013-2016 Projects'!$V$4:$V$202,0))</f>
        <v>#REF!</v>
      </c>
      <c r="E207" s="181" t="e">
        <f t="array" ref="E207">SUM(IF('[5]2013-2016 Projects'!$O$4:$O$202="New-100",'[5]2013-2016 Projects'!$V$4:$V$202,0))</f>
        <v>#REF!</v>
      </c>
      <c r="F207" s="181" t="e">
        <f t="array" ref="F207">SUM(IF('[5]2013-2016 Projects'!$O$4:$O$202="New-100",'[5]2013-2016 Projects'!$V$4:$V$202,0))</f>
        <v>#REF!</v>
      </c>
      <c r="G207" s="181"/>
      <c r="H207" s="181">
        <f t="array" ref="H207">SUM(IF('2014-2017 Projects'!$T$5:$T$158="New-100",'2014-2017 Projects'!$AK$5:$AK$158,0))</f>
        <v>36000000</v>
      </c>
      <c r="I207" s="181"/>
      <c r="J207" s="181"/>
      <c r="K207" s="181"/>
      <c r="L207" s="181"/>
      <c r="M207" s="181"/>
      <c r="N207" s="181"/>
      <c r="O207" s="181"/>
      <c r="P207" s="181"/>
      <c r="Q207" s="181"/>
      <c r="R207" s="181"/>
      <c r="S207" s="181"/>
      <c r="T207" s="181"/>
      <c r="U207" s="181"/>
      <c r="V207" s="181"/>
      <c r="W207" s="181"/>
      <c r="X207" s="181"/>
      <c r="Y207" s="181"/>
      <c r="Z207" s="181"/>
      <c r="AA207" s="181"/>
      <c r="AB207" s="181"/>
      <c r="AC207" s="181"/>
      <c r="AD207" s="181"/>
      <c r="AE207" s="181"/>
      <c r="AF207" s="181"/>
      <c r="AG207" s="181"/>
      <c r="AH207" s="181"/>
      <c r="AI207" s="181"/>
      <c r="AJ207" s="181"/>
      <c r="AK207" s="181"/>
      <c r="AL207" s="181"/>
      <c r="AM207" s="181"/>
      <c r="AN207" s="181">
        <f t="array" ref="AN207">SUM(IF('2014-2017 Projects'!$T$5:$T$158="New-100",'2014-2017 Projects'!$CE$5:$CE$158,0))</f>
        <v>36710100</v>
      </c>
      <c r="AO207" s="181">
        <f t="array" ref="AO207">SUM(IF('2014-2017 Projects'!$T$5:$T$158="New-100",'2014-2017 Projects'!$CF$5:$CF$158,0))</f>
        <v>30412415</v>
      </c>
    </row>
    <row r="208" spans="1:41" ht="13.5">
      <c r="A208" s="209" t="s">
        <v>362</v>
      </c>
      <c r="B208" s="181" t="e">
        <f t="array" ref="B208">SUM(IF('[5]2013-2016 Projects'!$O$4:$O$202="New-50",'[5]2013-2016 Projects'!$V$4:$V$202,0))</f>
        <v>#REF!</v>
      </c>
      <c r="C208" s="181" t="e">
        <f t="array" ref="C208">SUM(IF('[5]2013-2016 Projects'!$O$4:$O$202="New-50",'[5]2013-2016 Projects'!$V$4:$V$202,0))</f>
        <v>#REF!</v>
      </c>
      <c r="D208" s="181" t="e">
        <f t="array" ref="D208">SUM(IF('[5]2013-2016 Projects'!$O$4:$O$202="New-50",'[5]2013-2016 Projects'!$V$4:$V$202,0))</f>
        <v>#REF!</v>
      </c>
      <c r="E208" s="181" t="e">
        <f t="array" ref="E208">SUM(IF('[5]2013-2016 Projects'!$O$4:$O$202="New-50",'[5]2013-2016 Projects'!$V$4:$V$202,0))</f>
        <v>#REF!</v>
      </c>
      <c r="F208" s="181" t="e">
        <f t="array" ref="F208">SUM(IF('[5]2013-2016 Projects'!$O$4:$O$202="New-50",'[5]2013-2016 Projects'!$V$4:$V$202,0))</f>
        <v>#REF!</v>
      </c>
      <c r="G208" s="181"/>
      <c r="H208" s="181">
        <f t="array" ref="H208">SUM(IF('2014-2017 Projects'!$T$5:$T$158="New-50",'2014-2017 Projects'!$AK$5:$AK$158,0))</f>
        <v>24000000</v>
      </c>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f t="array" ref="AN208">SUM(IF('2014-2017 Projects'!$T$5:$T$158="New-50",'2014-2017 Projects'!$CE$5:$CE$158,0))</f>
        <v>30000000</v>
      </c>
      <c r="AO208" s="181">
        <f t="array" ref="AO208">SUM(IF('2014-2017 Projects'!$T$5:$T$158="New-50",'2014-2017 Projects'!$CF$5:$CF$158,0))</f>
        <v>59500000</v>
      </c>
    </row>
    <row r="209" spans="1:41" ht="13.5">
      <c r="A209" s="209" t="s">
        <v>363</v>
      </c>
      <c r="B209" s="182"/>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2"/>
      <c r="AJ209" s="182"/>
      <c r="AK209" s="182"/>
      <c r="AL209" s="182"/>
      <c r="AM209" s="182"/>
      <c r="AN209" s="182"/>
      <c r="AO209" s="182"/>
    </row>
    <row r="210" spans="1:41" ht="13.5">
      <c r="A210" s="209" t="s">
        <v>36</v>
      </c>
      <c r="B210" s="181" t="e">
        <f t="array" ref="B210">SUM(IF('[5]2013-2016 Projects'!$O$4:$O$202="New-120",'[5]2013-2016 Projects'!$V$4:$V$202,0))</f>
        <v>#REF!</v>
      </c>
      <c r="C210" s="181" t="e">
        <f t="array" ref="C210">SUM(IF('[5]2013-2016 Projects'!$O$4:$O$202="New-120",'[5]2013-2016 Projects'!$V$4:$V$202,0))</f>
        <v>#REF!</v>
      </c>
      <c r="D210" s="181" t="e">
        <f t="array" ref="D210">SUM(IF('[5]2013-2016 Projects'!$O$4:$O$202="New-120",'[5]2013-2016 Projects'!$V$4:$V$202,0))</f>
        <v>#REF!</v>
      </c>
      <c r="E210" s="181" t="e">
        <f t="array" ref="E210">SUM(IF('[5]2013-2016 Projects'!$O$4:$O$202="New-120",'[5]2013-2016 Projects'!$V$4:$V$202,0))</f>
        <v>#REF!</v>
      </c>
      <c r="F210" s="181" t="e">
        <f t="array" ref="F210">SUM(IF('[5]2013-2016 Projects'!$O$4:$O$202="New-120",'[5]2013-2016 Projects'!$V$4:$V$202,0))</f>
        <v>#REF!</v>
      </c>
      <c r="G210" s="181"/>
      <c r="H210" s="181">
        <f t="array" ref="H210">SUM(IF('2014-2017 Projects'!$T$5:$T$158="New-120",'2014-2017 Projects'!$AK$5:$AK$158,0))</f>
        <v>10000000</v>
      </c>
      <c r="I210" s="181"/>
      <c r="J210" s="181"/>
      <c r="K210" s="181"/>
      <c r="L210" s="181"/>
      <c r="M210" s="181"/>
      <c r="N210" s="181"/>
      <c r="O210" s="181"/>
      <c r="P210" s="181"/>
      <c r="Q210" s="181"/>
      <c r="R210" s="181"/>
      <c r="S210" s="181"/>
      <c r="T210" s="181"/>
      <c r="U210" s="181"/>
      <c r="V210" s="181"/>
      <c r="W210" s="181"/>
      <c r="X210" s="181"/>
      <c r="Y210" s="181"/>
      <c r="Z210" s="181"/>
      <c r="AA210" s="181"/>
      <c r="AB210" s="181"/>
      <c r="AC210" s="181"/>
      <c r="AD210" s="181"/>
      <c r="AE210" s="181"/>
      <c r="AF210" s="181"/>
      <c r="AG210" s="181"/>
      <c r="AH210" s="181"/>
      <c r="AI210" s="181"/>
      <c r="AJ210" s="181"/>
      <c r="AK210" s="181"/>
      <c r="AL210" s="181"/>
      <c r="AM210" s="181"/>
      <c r="AN210" s="181">
        <f t="array" ref="AN210">SUM(IF('2014-2017 Projects'!$T$5:$T$158="New-120",'2014-2017 Projects'!$CE$5:$CE$158,0))</f>
        <v>10000000</v>
      </c>
      <c r="AO210" s="181">
        <f t="array" ref="AO210">SUM(IF('2014-2017 Projects'!$T$5:$T$158="New-120",'2014-2017 Projects'!$CF$5:$CF$158,0))</f>
        <v>10000000</v>
      </c>
    </row>
    <row r="211" spans="1:41" ht="13.5">
      <c r="A211" s="210"/>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77"/>
      <c r="AB211" s="177"/>
      <c r="AC211" s="177"/>
      <c r="AD211" s="177"/>
      <c r="AE211" s="177"/>
      <c r="AF211" s="177"/>
      <c r="AG211" s="177"/>
      <c r="AH211" s="177"/>
      <c r="AI211" s="177"/>
      <c r="AJ211" s="177"/>
      <c r="AK211" s="177"/>
      <c r="AL211" s="177"/>
      <c r="AM211" s="177"/>
      <c r="AN211" s="177"/>
      <c r="AO211" s="177"/>
    </row>
    <row r="212" spans="1:41" ht="13.5">
      <c r="A212" s="205" t="s">
        <v>2</v>
      </c>
      <c r="B212" s="186" t="e">
        <f>SUM(B213:B226)</f>
        <v>#REF!</v>
      </c>
      <c r="C212" s="186" t="e">
        <f>SUM(C213:C226)</f>
        <v>#REF!</v>
      </c>
      <c r="D212" s="186" t="e">
        <f>SUM(D213:D226)</f>
        <v>#REF!</v>
      </c>
      <c r="E212" s="186" t="e">
        <f>SUM(E213:E226)</f>
        <v>#REF!</v>
      </c>
      <c r="F212" s="186" t="e">
        <f>SUM(F213:F226)</f>
        <v>#REF!</v>
      </c>
      <c r="G212" s="186"/>
      <c r="H212" s="186">
        <f>SUM(H213:H226)</f>
        <v>22000000</v>
      </c>
      <c r="I212" s="186"/>
      <c r="J212" s="186"/>
      <c r="K212" s="186"/>
      <c r="L212" s="186"/>
      <c r="M212" s="186"/>
      <c r="N212" s="186"/>
      <c r="O212" s="186"/>
      <c r="P212" s="186"/>
      <c r="Q212" s="186"/>
      <c r="R212" s="186"/>
      <c r="S212" s="186"/>
      <c r="T212" s="186"/>
      <c r="U212" s="186"/>
      <c r="V212" s="186"/>
      <c r="W212" s="186"/>
      <c r="X212" s="186"/>
      <c r="Y212" s="186"/>
      <c r="Z212" s="186"/>
      <c r="AA212" s="186"/>
      <c r="AB212" s="186"/>
      <c r="AC212" s="186"/>
      <c r="AD212" s="186"/>
      <c r="AE212" s="186"/>
      <c r="AF212" s="186"/>
      <c r="AG212" s="186"/>
      <c r="AH212" s="186"/>
      <c r="AI212" s="186"/>
      <c r="AJ212" s="186"/>
      <c r="AK212" s="186"/>
      <c r="AL212" s="186"/>
      <c r="AM212" s="186"/>
      <c r="AN212" s="186">
        <f>SUM(AN213:AN226)</f>
        <v>17000000</v>
      </c>
      <c r="AO212" s="186">
        <f>SUM(AO213:AO226)</f>
        <v>17000000</v>
      </c>
    </row>
    <row r="213" spans="1:41" ht="13.5">
      <c r="A213" s="198" t="s">
        <v>364</v>
      </c>
      <c r="B213" s="181" t="e">
        <f t="array" ref="B213">SUM(IF('[5]2013-2016 Projects'!$O$4:$O$202="New-150",'[5]2013-2016 Projects'!$V$4:$V$202,0))</f>
        <v>#REF!</v>
      </c>
      <c r="C213" s="181" t="e">
        <f t="array" ref="C213">SUM(IF('[5]2013-2016 Projects'!$O$4:$O$202="New-150",'[5]2013-2016 Projects'!$V$4:$V$202,0))</f>
        <v>#REF!</v>
      </c>
      <c r="D213" s="181" t="e">
        <f t="array" ref="D213">SUM(IF('[5]2013-2016 Projects'!$O$4:$O$202="New-150",'[5]2013-2016 Projects'!$V$4:$V$202,0))</f>
        <v>#REF!</v>
      </c>
      <c r="E213" s="181" t="e">
        <f t="array" ref="E213">SUM(IF('[5]2013-2016 Projects'!$O$4:$O$202="New-150",'[5]2013-2016 Projects'!$V$4:$V$202,0))</f>
        <v>#REF!</v>
      </c>
      <c r="F213" s="181" t="e">
        <f t="array" ref="F213">SUM(IF('[5]2013-2016 Projects'!$O$4:$O$202="New-150",'[5]2013-2016 Projects'!$V$4:$V$202,0))</f>
        <v>#REF!</v>
      </c>
      <c r="G213" s="181"/>
      <c r="H213" s="181">
        <f t="array" ref="H213">SUM(IF('2014-2017 Projects'!$T$5:$T$158="New-150",'2014-2017 Projects'!$AK$5:$AK$158,0))</f>
        <v>2000000</v>
      </c>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181"/>
      <c r="AJ213" s="181"/>
      <c r="AK213" s="181"/>
      <c r="AL213" s="181"/>
      <c r="AM213" s="181"/>
      <c r="AN213" s="181">
        <f t="array" ref="AN213">SUM(IF('2014-2017 Projects'!$T$5:$T$158="New-150",'2014-2017 Projects'!$CE$5:$CE$158,0))</f>
        <v>0</v>
      </c>
      <c r="AO213" s="181">
        <f t="array" ref="AO213">SUM(IF('2014-2017 Projects'!$T$5:$T$158="New-150",'2014-2017 Projects'!$CF$5:$CF$158,0))</f>
        <v>0</v>
      </c>
    </row>
    <row r="214" spans="1:41" ht="13.5">
      <c r="A214" s="198" t="s">
        <v>365</v>
      </c>
      <c r="B214" s="181" t="e">
        <f t="array" ref="B214">SUM(IF('[5]2013-2016 Projects'!$O$4:$O$202="New-160",'[5]2013-2016 Projects'!$V$4:$V$202,0))</f>
        <v>#REF!</v>
      </c>
      <c r="C214" s="181" t="e">
        <f t="array" ref="C214">SUM(IF('[5]2013-2016 Projects'!$O$4:$O$202="New-160",'[5]2013-2016 Projects'!$V$4:$V$202,0))</f>
        <v>#REF!</v>
      </c>
      <c r="D214" s="181" t="e">
        <f t="array" ref="D214">SUM(IF('[5]2013-2016 Projects'!$O$4:$O$202="New-160",'[5]2013-2016 Projects'!$V$4:$V$202,0))</f>
        <v>#REF!</v>
      </c>
      <c r="E214" s="181" t="e">
        <f t="array" ref="E214">SUM(IF('[5]2013-2016 Projects'!$O$4:$O$202="New-160",'[5]2013-2016 Projects'!$V$4:$V$202,0))</f>
        <v>#REF!</v>
      </c>
      <c r="F214" s="181" t="e">
        <f t="array" ref="F214">SUM(IF('[5]2013-2016 Projects'!$O$4:$O$202="New-160",'[5]2013-2016 Projects'!$V$4:$V$202,0))</f>
        <v>#REF!</v>
      </c>
      <c r="G214" s="181"/>
      <c r="H214" s="181">
        <f t="array" ref="H214">SUM(IF('2014-2017 Projects'!$T$5:$T$158="New-160",'2014-2017 Projects'!$AK$5:$AK$158,0))</f>
        <v>0</v>
      </c>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f t="array" ref="AN214">SUM(IF('2014-2017 Projects'!$T$5:$T$158="New-160",'2014-2017 Projects'!$CE$5:$CE$158,0))</f>
        <v>0</v>
      </c>
      <c r="AO214" s="181">
        <f t="array" ref="AO214">SUM(IF('2014-2017 Projects'!$T$5:$T$158="New-160",'2014-2017 Projects'!$CF$5:$CF$158,0))</f>
        <v>0</v>
      </c>
    </row>
    <row r="215" spans="1:41" ht="13.5">
      <c r="A215" s="198" t="s">
        <v>366</v>
      </c>
      <c r="B215" s="181" t="e">
        <f t="array" ref="B215">SUM(IF('[5]2013-2016 Projects'!$O$4:$O$202="New-199",'[5]2013-2016 Projects'!$V$4:$V$202,0))</f>
        <v>#REF!</v>
      </c>
      <c r="C215" s="181" t="e">
        <f t="array" ref="C215">SUM(IF('[5]2013-2016 Projects'!$O$4:$O$202="New-199",'[5]2013-2016 Projects'!$V$4:$V$202,0))</f>
        <v>#REF!</v>
      </c>
      <c r="D215" s="181" t="e">
        <f t="array" ref="D215">SUM(IF('[5]2013-2016 Projects'!$O$4:$O$202="New-199",'[5]2013-2016 Projects'!$V$4:$V$202,0))</f>
        <v>#REF!</v>
      </c>
      <c r="E215" s="181" t="e">
        <f t="array" ref="E215">SUM(IF('[5]2013-2016 Projects'!$O$4:$O$202="New-199",'[5]2013-2016 Projects'!$V$4:$V$202,0))</f>
        <v>#REF!</v>
      </c>
      <c r="F215" s="181" t="e">
        <f t="array" ref="F215">SUM(IF('[5]2013-2016 Projects'!$O$4:$O$202="New-199",'[5]2013-2016 Projects'!$V$4:$V$202,0))</f>
        <v>#REF!</v>
      </c>
      <c r="G215" s="181"/>
      <c r="H215" s="181">
        <f t="array" ref="H215">SUM(IF('2014-2017 Projects'!$T$5:$T$158="New-199",'2014-2017 Projects'!$AK$5:$AK$158,0))</f>
        <v>0</v>
      </c>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c r="AG215" s="181"/>
      <c r="AH215" s="181"/>
      <c r="AI215" s="181"/>
      <c r="AJ215" s="181"/>
      <c r="AK215" s="181"/>
      <c r="AL215" s="181"/>
      <c r="AM215" s="181"/>
      <c r="AN215" s="181">
        <f t="array" ref="AN215">SUM(IF('2014-2017 Projects'!$T$5:$T$158="New-199",'2014-2017 Projects'!$CE$5:$CE$158,0))</f>
        <v>0</v>
      </c>
      <c r="AO215" s="181">
        <f t="array" ref="AO215">SUM(IF('2014-2017 Projects'!$T$5:$T$158="New-199",'2014-2017 Projects'!$CF$5:$CF$158,0))</f>
        <v>0</v>
      </c>
    </row>
    <row r="216" spans="1:41" ht="13.5">
      <c r="A216" s="198" t="s">
        <v>367</v>
      </c>
      <c r="B216" s="181" t="e">
        <f t="array" ref="B216">SUM(IF('[5]2013-2016 Projects'!$O$4:$O$202="New-170",'[5]2013-2016 Projects'!$V$4:$V$202,0))</f>
        <v>#REF!</v>
      </c>
      <c r="C216" s="181" t="e">
        <f t="array" ref="C216">SUM(IF('[5]2013-2016 Projects'!$O$4:$O$202="New-170",'[5]2013-2016 Projects'!$V$4:$V$202,0))</f>
        <v>#REF!</v>
      </c>
      <c r="D216" s="181" t="e">
        <f t="array" ref="D216">SUM(IF('[5]2013-2016 Projects'!$O$4:$O$202="New-170",'[5]2013-2016 Projects'!$V$4:$V$202,0))</f>
        <v>#REF!</v>
      </c>
      <c r="E216" s="181" t="e">
        <f t="array" ref="E216">SUM(IF('[5]2013-2016 Projects'!$O$4:$O$202="New-170",'[5]2013-2016 Projects'!$V$4:$V$202,0))</f>
        <v>#REF!</v>
      </c>
      <c r="F216" s="181" t="e">
        <f t="array" ref="F216">SUM(IF('[5]2013-2016 Projects'!$O$4:$O$202="New-170",'[5]2013-2016 Projects'!$V$4:$V$202,0))</f>
        <v>#REF!</v>
      </c>
      <c r="G216" s="181"/>
      <c r="H216" s="181">
        <f t="array" ref="H216">SUM(IF('2014-2017 Projects'!$T$5:$T$158="New-170",'2014-2017 Projects'!$AK$5:$AK$158,0))</f>
        <v>10000000</v>
      </c>
      <c r="I216" s="181"/>
      <c r="J216" s="181"/>
      <c r="K216" s="181"/>
      <c r="L216" s="181"/>
      <c r="M216" s="181"/>
      <c r="N216" s="181"/>
      <c r="O216" s="181"/>
      <c r="P216" s="181"/>
      <c r="Q216" s="181"/>
      <c r="R216" s="181"/>
      <c r="S216" s="181"/>
      <c r="T216" s="181"/>
      <c r="U216" s="181"/>
      <c r="V216" s="181"/>
      <c r="W216" s="181"/>
      <c r="X216" s="181"/>
      <c r="Y216" s="181"/>
      <c r="Z216" s="181"/>
      <c r="AA216" s="181"/>
      <c r="AB216" s="181"/>
      <c r="AC216" s="181"/>
      <c r="AD216" s="181"/>
      <c r="AE216" s="181"/>
      <c r="AF216" s="181"/>
      <c r="AG216" s="181"/>
      <c r="AH216" s="181"/>
      <c r="AI216" s="181"/>
      <c r="AJ216" s="181"/>
      <c r="AK216" s="181"/>
      <c r="AL216" s="181"/>
      <c r="AM216" s="181"/>
      <c r="AN216" s="181">
        <f t="array" ref="AN216">SUM(IF('2014-2017 Projects'!$T$5:$T$158="New-170",'2014-2017 Projects'!$CE$5:$CE$158,0))</f>
        <v>9000000</v>
      </c>
      <c r="AO216" s="181">
        <f t="array" ref="AO216">SUM(IF('2014-2017 Projects'!$T$5:$T$158="New-170",'2014-2017 Projects'!$CF$5:$CF$158,0))</f>
        <v>9000000</v>
      </c>
    </row>
    <row r="217" spans="1:41" ht="13.5">
      <c r="A217" s="198" t="s">
        <v>3</v>
      </c>
      <c r="B217" s="181" t="e">
        <f t="array" ref="B217">SUM(IF('[5]2013-2016 Projects'!$O$4:$O$202="New-180",'[5]2013-2016 Projects'!$V$4:$V$202,0))</f>
        <v>#REF!</v>
      </c>
      <c r="C217" s="181" t="e">
        <f t="array" ref="C217">SUM(IF('[5]2013-2016 Projects'!$O$4:$O$202="New-180",'[5]2013-2016 Projects'!$V$4:$V$202,0))</f>
        <v>#REF!</v>
      </c>
      <c r="D217" s="181" t="e">
        <f t="array" ref="D217">SUM(IF('[5]2013-2016 Projects'!$O$4:$O$202="New-180",'[5]2013-2016 Projects'!$V$4:$V$202,0))</f>
        <v>#REF!</v>
      </c>
      <c r="E217" s="181" t="e">
        <f t="array" ref="E217">SUM(IF('[5]2013-2016 Projects'!$O$4:$O$202="New-180",'[5]2013-2016 Projects'!$V$4:$V$202,0))</f>
        <v>#REF!</v>
      </c>
      <c r="F217" s="181" t="e">
        <f t="array" ref="F217">SUM(IF('[5]2013-2016 Projects'!$O$4:$O$202="New-180",'[5]2013-2016 Projects'!$V$4:$V$202,0))</f>
        <v>#REF!</v>
      </c>
      <c r="G217" s="181"/>
      <c r="H217" s="181">
        <f t="array" ref="H217">SUM(IF('2014-2017 Projects'!$T$5:$T$158="New-180",'2014-2017 Projects'!$AK$5:$AK$158,0))</f>
        <v>0</v>
      </c>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c r="AH217" s="181"/>
      <c r="AI217" s="181"/>
      <c r="AJ217" s="181"/>
      <c r="AK217" s="181"/>
      <c r="AL217" s="181"/>
      <c r="AM217" s="181"/>
      <c r="AN217" s="181">
        <f t="array" ref="AN217">SUM(IF('2014-2017 Projects'!$T$5:$T$158="New-180",'2014-2017 Projects'!$CE$5:$CE$158,0))</f>
        <v>0</v>
      </c>
      <c r="AO217" s="181">
        <f t="array" ref="AO217">SUM(IF('2014-2017 Projects'!$T$5:$T$158="New-180",'2014-2017 Projects'!$CF$5:$CF$158,0))</f>
        <v>0</v>
      </c>
    </row>
    <row r="218" spans="1:41" ht="13.5">
      <c r="A218" s="198" t="s">
        <v>368</v>
      </c>
      <c r="B218" s="181" t="e">
        <f t="array" ref="B218">SUM(IF('[5]2013-2016 Projects'!$O$4:$O$202="New-190",'[5]2013-2016 Projects'!$V$4:$V$202,0))</f>
        <v>#REF!</v>
      </c>
      <c r="C218" s="181" t="e">
        <f t="array" ref="C218">SUM(IF('[5]2013-2016 Projects'!$O$4:$O$202="New-190",'[5]2013-2016 Projects'!$V$4:$V$202,0))</f>
        <v>#REF!</v>
      </c>
      <c r="D218" s="181" t="e">
        <f t="array" ref="D218">SUM(IF('[5]2013-2016 Projects'!$O$4:$O$202="New-190",'[5]2013-2016 Projects'!$V$4:$V$202,0))</f>
        <v>#REF!</v>
      </c>
      <c r="E218" s="181" t="e">
        <f t="array" ref="E218">SUM(IF('[5]2013-2016 Projects'!$O$4:$O$202="New-190",'[5]2013-2016 Projects'!$V$4:$V$202,0))</f>
        <v>#REF!</v>
      </c>
      <c r="F218" s="181" t="e">
        <f t="array" ref="F218">SUM(IF('[5]2013-2016 Projects'!$O$4:$O$202="New-190",'[5]2013-2016 Projects'!$V$4:$V$202,0))</f>
        <v>#REF!</v>
      </c>
      <c r="G218" s="181"/>
      <c r="H218" s="181">
        <f t="array" ref="H218">SUM(IF('2014-2017 Projects'!$T$5:$T$158="New-190",'2014-2017 Projects'!$AK$5:$AK$158,0))</f>
        <v>0</v>
      </c>
      <c r="I218" s="181"/>
      <c r="J218" s="181"/>
      <c r="K218" s="181"/>
      <c r="L218" s="181"/>
      <c r="M218" s="181"/>
      <c r="N218" s="181"/>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181"/>
      <c r="AL218" s="181"/>
      <c r="AM218" s="181"/>
      <c r="AN218" s="181">
        <f t="array" ref="AN218">SUM(IF('2014-2017 Projects'!$T$5:$T$158="New-190",'2014-2017 Projects'!$CE$5:$CE$158,0))</f>
        <v>0</v>
      </c>
      <c r="AO218" s="181">
        <f t="array" ref="AO218">SUM(IF('2014-2017 Projects'!$T$5:$T$158="New-190",'2014-2017 Projects'!$CF$5:$CF$158,0))</f>
        <v>0</v>
      </c>
    </row>
    <row r="219" spans="1:41" ht="13.5">
      <c r="A219" s="198" t="s">
        <v>369</v>
      </c>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81"/>
      <c r="AK219" s="181"/>
      <c r="AL219" s="181"/>
      <c r="AM219" s="181"/>
      <c r="AN219" s="181"/>
      <c r="AO219" s="181"/>
    </row>
    <row r="220" spans="1:41" ht="13.5">
      <c r="A220" s="198" t="s">
        <v>370</v>
      </c>
      <c r="B220" s="182"/>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c r="AA220" s="182"/>
      <c r="AB220" s="182"/>
      <c r="AC220" s="182"/>
      <c r="AD220" s="182"/>
      <c r="AE220" s="182"/>
      <c r="AF220" s="182"/>
      <c r="AG220" s="182"/>
      <c r="AH220" s="182"/>
      <c r="AI220" s="182"/>
      <c r="AJ220" s="182"/>
      <c r="AK220" s="182"/>
      <c r="AL220" s="182"/>
      <c r="AM220" s="182"/>
      <c r="AN220" s="182"/>
      <c r="AO220" s="182"/>
    </row>
    <row r="221" spans="1:41" ht="13.5">
      <c r="A221" s="198" t="s">
        <v>371</v>
      </c>
      <c r="B221" s="181" t="e">
        <f t="array" ref="B221">SUM(IF('[5]2013-2016 Projects'!$O$4:$O$202="New-390",'[5]2013-2016 Projects'!$V$4:$V$202,0))</f>
        <v>#REF!</v>
      </c>
      <c r="C221" s="181" t="e">
        <f t="array" ref="C221">SUM(IF('[5]2013-2016 Projects'!$O$4:$O$202="New-390",'[5]2013-2016 Projects'!$V$4:$V$202,0))</f>
        <v>#REF!</v>
      </c>
      <c r="D221" s="181" t="e">
        <f t="array" ref="D221">SUM(IF('[5]2013-2016 Projects'!$O$4:$O$202="New-390",'[5]2013-2016 Projects'!$V$4:$V$202,0))</f>
        <v>#REF!</v>
      </c>
      <c r="E221" s="181" t="e">
        <f t="array" ref="E221">SUM(IF('[5]2013-2016 Projects'!$O$4:$O$202="New-390",'[5]2013-2016 Projects'!$V$4:$V$202,0))</f>
        <v>#REF!</v>
      </c>
      <c r="F221" s="181" t="e">
        <f t="array" ref="F221">SUM(IF('[5]2013-2016 Projects'!$O$4:$O$202="New-390",'[5]2013-2016 Projects'!$V$4:$V$202,0))</f>
        <v>#REF!</v>
      </c>
      <c r="G221" s="181"/>
      <c r="H221" s="181">
        <f t="array" ref="H221">SUM(IF('2014-2017 Projects'!$T$5:$T$158="New-390",'2014-2017 Projects'!$AK$5:$AK$158,0))</f>
        <v>0</v>
      </c>
      <c r="I221" s="181"/>
      <c r="J221" s="181"/>
      <c r="K221" s="181"/>
      <c r="L221" s="181"/>
      <c r="M221" s="181"/>
      <c r="N221" s="181"/>
      <c r="O221" s="181"/>
      <c r="P221" s="181"/>
      <c r="Q221" s="181"/>
      <c r="R221" s="181"/>
      <c r="S221" s="181"/>
      <c r="T221" s="181"/>
      <c r="U221" s="181"/>
      <c r="V221" s="181"/>
      <c r="W221" s="181"/>
      <c r="X221" s="181"/>
      <c r="Y221" s="181"/>
      <c r="Z221" s="181"/>
      <c r="AA221" s="181"/>
      <c r="AB221" s="181"/>
      <c r="AC221" s="181"/>
      <c r="AD221" s="181"/>
      <c r="AE221" s="181"/>
      <c r="AF221" s="181"/>
      <c r="AG221" s="181"/>
      <c r="AH221" s="181"/>
      <c r="AI221" s="181"/>
      <c r="AJ221" s="181"/>
      <c r="AK221" s="181"/>
      <c r="AL221" s="181"/>
      <c r="AM221" s="181"/>
      <c r="AN221" s="181">
        <f t="array" ref="AN221">SUM(IF('2014-2017 Projects'!$T$5:$T$158="New-390",'2014-2017 Projects'!$CE$5:$CE$158,0))</f>
        <v>0</v>
      </c>
      <c r="AO221" s="181">
        <f t="array" ref="AO221">SUM(IF('2014-2017 Projects'!$T$5:$T$158="New-390",'2014-2017 Projects'!$CF$5:$CF$158,0))</f>
        <v>0</v>
      </c>
    </row>
    <row r="222" spans="1:41" ht="13.5">
      <c r="A222" s="198" t="s">
        <v>372</v>
      </c>
      <c r="B222" s="181" t="e">
        <f t="array" ref="B222">SUM(IF('[5]2013-2016 Projects'!$O$4:$O$202="New-200",'[5]2013-2016 Projects'!$V$4:$V$202,0))</f>
        <v>#REF!</v>
      </c>
      <c r="C222" s="181" t="e">
        <f t="array" ref="C222">SUM(IF('[5]2013-2016 Projects'!$O$4:$O$202="New-200",'[5]2013-2016 Projects'!$V$4:$V$202,0))</f>
        <v>#REF!</v>
      </c>
      <c r="D222" s="181" t="e">
        <f t="array" ref="D222">SUM(IF('[5]2013-2016 Projects'!$O$4:$O$202="New-200",'[5]2013-2016 Projects'!$V$4:$V$202,0))</f>
        <v>#REF!</v>
      </c>
      <c r="E222" s="181" t="e">
        <f t="array" ref="E222">SUM(IF('[5]2013-2016 Projects'!$O$4:$O$202="New-200",'[5]2013-2016 Projects'!$V$4:$V$202,0))</f>
        <v>#REF!</v>
      </c>
      <c r="F222" s="181" t="e">
        <f t="array" ref="F222">SUM(IF('[5]2013-2016 Projects'!$O$4:$O$202="New-200",'[5]2013-2016 Projects'!$V$4:$V$202,0))</f>
        <v>#REF!</v>
      </c>
      <c r="G222" s="181"/>
      <c r="H222" s="181">
        <f t="array" ref="H222">SUM(IF('2014-2017 Projects'!$T$5:$T$158="New-200",'2014-2017 Projects'!$AK$5:$AK$158,0))</f>
        <v>0</v>
      </c>
      <c r="I222" s="181"/>
      <c r="J222" s="181"/>
      <c r="K222" s="181"/>
      <c r="L222" s="181"/>
      <c r="M222" s="181"/>
      <c r="N222" s="181"/>
      <c r="O222" s="181"/>
      <c r="P222" s="181"/>
      <c r="Q222" s="181"/>
      <c r="R222" s="181"/>
      <c r="S222" s="181"/>
      <c r="T222" s="181"/>
      <c r="U222" s="181"/>
      <c r="V222" s="181"/>
      <c r="W222" s="181"/>
      <c r="X222" s="181"/>
      <c r="Y222" s="181"/>
      <c r="Z222" s="181"/>
      <c r="AA222" s="181"/>
      <c r="AB222" s="181"/>
      <c r="AC222" s="181"/>
      <c r="AD222" s="181"/>
      <c r="AE222" s="181"/>
      <c r="AF222" s="181"/>
      <c r="AG222" s="181"/>
      <c r="AH222" s="181"/>
      <c r="AI222" s="181"/>
      <c r="AJ222" s="181"/>
      <c r="AK222" s="181"/>
      <c r="AL222" s="181"/>
      <c r="AM222" s="181"/>
      <c r="AN222" s="181">
        <f t="array" ref="AN222">SUM(IF('2014-2017 Projects'!$T$5:$T$158="New-200",'2014-2017 Projects'!$CE$5:$CE$158,0))</f>
        <v>0</v>
      </c>
      <c r="AO222" s="181">
        <f t="array" ref="AO222">SUM(IF('2014-2017 Projects'!$T$5:$T$158="New-200",'2014-2017 Projects'!$CF$5:$CF$158,0))</f>
        <v>0</v>
      </c>
    </row>
    <row r="223" spans="1:41" ht="13.5">
      <c r="A223" s="198" t="s">
        <v>373</v>
      </c>
      <c r="B223" s="182"/>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c r="AA223" s="182"/>
      <c r="AB223" s="182"/>
      <c r="AC223" s="182"/>
      <c r="AD223" s="182"/>
      <c r="AE223" s="182"/>
      <c r="AF223" s="182"/>
      <c r="AG223" s="182"/>
      <c r="AH223" s="182"/>
      <c r="AI223" s="182"/>
      <c r="AJ223" s="182"/>
      <c r="AK223" s="182"/>
      <c r="AL223" s="182"/>
      <c r="AM223" s="182"/>
      <c r="AN223" s="182"/>
      <c r="AO223" s="182"/>
    </row>
    <row r="224" spans="1:41" ht="13.5">
      <c r="A224" s="198" t="s">
        <v>4</v>
      </c>
      <c r="B224" s="181">
        <v>0</v>
      </c>
      <c r="C224" s="181">
        <v>0</v>
      </c>
      <c r="D224" s="181">
        <v>0</v>
      </c>
      <c r="E224" s="181">
        <v>0</v>
      </c>
      <c r="F224" s="181">
        <v>0</v>
      </c>
      <c r="G224" s="181"/>
      <c r="H224" s="181">
        <f t="array" ref="H224">SUM(IF('2014-2017 Projects'!$T$5:$T$158="New-220",'2014-2017 Projects'!$AK$5:$AK$158,0))</f>
        <v>10000000</v>
      </c>
      <c r="I224" s="181"/>
      <c r="J224" s="181"/>
      <c r="K224" s="181"/>
      <c r="L224" s="181"/>
      <c r="M224" s="181"/>
      <c r="N224" s="181"/>
      <c r="O224" s="181"/>
      <c r="P224" s="181"/>
      <c r="Q224" s="181"/>
      <c r="R224" s="181"/>
      <c r="S224" s="181"/>
      <c r="T224" s="181"/>
      <c r="U224" s="181"/>
      <c r="V224" s="181"/>
      <c r="W224" s="181"/>
      <c r="X224" s="181"/>
      <c r="Y224" s="181"/>
      <c r="Z224" s="181"/>
      <c r="AA224" s="181"/>
      <c r="AB224" s="181"/>
      <c r="AC224" s="181"/>
      <c r="AD224" s="181"/>
      <c r="AE224" s="181"/>
      <c r="AF224" s="181"/>
      <c r="AG224" s="181"/>
      <c r="AH224" s="181"/>
      <c r="AI224" s="181"/>
      <c r="AJ224" s="181"/>
      <c r="AK224" s="181"/>
      <c r="AL224" s="181"/>
      <c r="AM224" s="181"/>
      <c r="AN224" s="181">
        <f t="array" ref="AN224">SUM(IF('2014-2017 Projects'!$T$5:$T$158="New-220",'2014-2017 Projects'!$CE$5:$CE$158,0))</f>
        <v>8000000</v>
      </c>
      <c r="AO224" s="181">
        <f t="array" ref="AO224">SUM(IF('2014-2017 Projects'!$T$5:$T$158="New-220",'2014-2017 Projects'!$CF$5:$CF$158,0))</f>
        <v>8000000</v>
      </c>
    </row>
    <row r="225" spans="1:41" ht="13.5">
      <c r="A225" s="198" t="s">
        <v>374</v>
      </c>
      <c r="B225" s="182"/>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c r="AA225" s="182"/>
      <c r="AB225" s="182"/>
      <c r="AC225" s="182"/>
      <c r="AD225" s="182"/>
      <c r="AE225" s="182"/>
      <c r="AF225" s="182"/>
      <c r="AG225" s="182"/>
      <c r="AH225" s="182"/>
      <c r="AI225" s="182"/>
      <c r="AJ225" s="182"/>
      <c r="AK225" s="182"/>
      <c r="AL225" s="182"/>
      <c r="AM225" s="182"/>
      <c r="AN225" s="182"/>
      <c r="AO225" s="182"/>
    </row>
    <row r="226" spans="1:41" ht="13.5">
      <c r="A226" s="198" t="s">
        <v>36</v>
      </c>
      <c r="B226" s="211" t="e">
        <f t="array" ref="B226">SUM(IF('[5]2013-2016 Projects'!$O$4:$O$202="New-220",'[5]2013-2016 Projects'!$V$4:$V$202,0))</f>
        <v>#REF!</v>
      </c>
      <c r="C226" s="211" t="e">
        <f t="array" ref="C226">SUM(IF('[5]2013-2016 Projects'!$O$4:$O$202="New-220",'[5]2013-2016 Projects'!$V$4:$V$202,0))</f>
        <v>#REF!</v>
      </c>
      <c r="D226" s="211" t="e">
        <f t="array" ref="D226">SUM(IF('[5]2013-2016 Projects'!$O$4:$O$202="New-220",'[5]2013-2016 Projects'!$V$4:$V$202,0))</f>
        <v>#REF!</v>
      </c>
      <c r="E226" s="211" t="e">
        <f t="array" ref="E226">SUM(IF('[5]2013-2016 Projects'!$O$4:$O$202="New-220",'[5]2013-2016 Projects'!$V$4:$V$202,0))</f>
        <v>#REF!</v>
      </c>
      <c r="F226" s="211" t="e">
        <f t="array" ref="F226">SUM(IF('[5]2013-2016 Projects'!$O$4:$O$202="New-220",'[5]2013-2016 Projects'!$V$4:$V$202,0))</f>
        <v>#REF!</v>
      </c>
      <c r="G226" s="211"/>
      <c r="H226" s="211"/>
      <c r="I226" s="211"/>
      <c r="J226" s="211"/>
      <c r="K226" s="211"/>
      <c r="L226" s="211"/>
      <c r="M226" s="211"/>
      <c r="N226" s="211"/>
      <c r="O226" s="211"/>
      <c r="P226" s="211"/>
      <c r="Q226" s="211"/>
      <c r="R226" s="211"/>
      <c r="S226" s="211"/>
      <c r="T226" s="211"/>
      <c r="U226" s="211"/>
      <c r="V226" s="211"/>
      <c r="W226" s="211"/>
      <c r="X226" s="211"/>
      <c r="Y226" s="211"/>
      <c r="Z226" s="211"/>
      <c r="AA226" s="211"/>
      <c r="AB226" s="211"/>
      <c r="AC226" s="211"/>
      <c r="AD226" s="211"/>
      <c r="AE226" s="211"/>
      <c r="AF226" s="211"/>
      <c r="AG226" s="211"/>
      <c r="AH226" s="211"/>
      <c r="AI226" s="211"/>
      <c r="AJ226" s="211"/>
      <c r="AK226" s="211"/>
      <c r="AL226" s="211"/>
      <c r="AM226" s="211"/>
      <c r="AN226" s="211"/>
      <c r="AO226" s="211"/>
    </row>
    <row r="227" spans="1:41" ht="13.5">
      <c r="A227" s="210"/>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c r="AA227" s="177"/>
      <c r="AB227" s="177"/>
      <c r="AC227" s="177"/>
      <c r="AD227" s="177"/>
      <c r="AE227" s="177"/>
      <c r="AF227" s="177"/>
      <c r="AG227" s="177"/>
      <c r="AH227" s="177"/>
      <c r="AI227" s="177"/>
      <c r="AJ227" s="177"/>
      <c r="AK227" s="177"/>
      <c r="AL227" s="177"/>
      <c r="AM227" s="177"/>
      <c r="AN227" s="177"/>
      <c r="AO227" s="177"/>
    </row>
    <row r="228" spans="1:41" ht="13.5">
      <c r="A228" s="205" t="s">
        <v>342</v>
      </c>
      <c r="B228" s="177">
        <f>SUM(B229:B230)</f>
        <v>0</v>
      </c>
      <c r="C228" s="177">
        <f>SUM(C229:C230)</f>
        <v>0</v>
      </c>
      <c r="D228" s="177">
        <f>SUM(D229:D230)</f>
        <v>0</v>
      </c>
      <c r="E228" s="177">
        <f>SUM(E229:E230)</f>
        <v>0</v>
      </c>
      <c r="F228" s="177">
        <f>SUM(F229:F230)</f>
        <v>0</v>
      </c>
      <c r="G228" s="177"/>
      <c r="H228" s="177">
        <f>SUM(H229:H230)</f>
        <v>0</v>
      </c>
      <c r="I228" s="177"/>
      <c r="J228" s="177"/>
      <c r="K228" s="177"/>
      <c r="L228" s="177"/>
      <c r="M228" s="177"/>
      <c r="N228" s="177"/>
      <c r="O228" s="177"/>
      <c r="P228" s="177"/>
      <c r="Q228" s="177"/>
      <c r="R228" s="177"/>
      <c r="S228" s="177"/>
      <c r="T228" s="177"/>
      <c r="U228" s="177"/>
      <c r="V228" s="177"/>
      <c r="W228" s="177"/>
      <c r="X228" s="177"/>
      <c r="Y228" s="177"/>
      <c r="Z228" s="177"/>
      <c r="AA228" s="177"/>
      <c r="AB228" s="177"/>
      <c r="AC228" s="177"/>
      <c r="AD228" s="177"/>
      <c r="AE228" s="177"/>
      <c r="AF228" s="177"/>
      <c r="AG228" s="177"/>
      <c r="AH228" s="177"/>
      <c r="AI228" s="177"/>
      <c r="AJ228" s="177"/>
      <c r="AK228" s="177"/>
      <c r="AL228" s="177"/>
      <c r="AM228" s="177"/>
      <c r="AN228" s="177">
        <f>SUM(AN229:AN230)</f>
        <v>0</v>
      </c>
      <c r="AO228" s="177">
        <f>SUM(AO229:AO230)</f>
        <v>0</v>
      </c>
    </row>
    <row r="229" spans="1:41" ht="13.5">
      <c r="A229" s="198" t="s">
        <v>375</v>
      </c>
      <c r="B229" s="212"/>
      <c r="C229" s="212"/>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row>
    <row r="230" spans="1:41" ht="13.5">
      <c r="A230" s="197" t="s">
        <v>36</v>
      </c>
      <c r="B230" s="213"/>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row>
    <row r="231" spans="1:41" ht="13.5">
      <c r="A231" s="210"/>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row>
    <row r="232" spans="1:41" ht="13.5">
      <c r="A232" s="205" t="s">
        <v>343</v>
      </c>
      <c r="B232" s="186" t="e">
        <f>SUM(B233:B234)</f>
        <v>#REF!</v>
      </c>
      <c r="C232" s="186" t="e">
        <f>SUM(C233:C234)</f>
        <v>#REF!</v>
      </c>
      <c r="D232" s="186" t="e">
        <f>SUM(D233:D234)</f>
        <v>#REF!</v>
      </c>
      <c r="E232" s="186" t="e">
        <f>SUM(E233:E234)</f>
        <v>#REF!</v>
      </c>
      <c r="F232" s="186" t="e">
        <f>SUM(F233:F234)</f>
        <v>#REF!</v>
      </c>
      <c r="G232" s="186"/>
      <c r="H232" s="186">
        <f>SUM(H233:H234)</f>
        <v>89536108</v>
      </c>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6"/>
      <c r="AL232" s="186"/>
      <c r="AM232" s="186"/>
      <c r="AN232" s="186">
        <f>SUM(AN233:AN234)</f>
        <v>162318500</v>
      </c>
      <c r="AO232" s="186">
        <f>SUM(AO233:AO234)</f>
        <v>266264685</v>
      </c>
    </row>
    <row r="233" spans="1:41" ht="13.5">
      <c r="A233" s="198" t="s">
        <v>376</v>
      </c>
      <c r="B233" s="214" t="e">
        <f t="array" ref="B233">SUM(IF('[5]2013-2016 Projects'!$O$4:$O$202="New-80",'[5]2013-2016 Projects'!$V$4:$V$202,0))</f>
        <v>#REF!</v>
      </c>
      <c r="C233" s="214" t="e">
        <f t="array" ref="C233">SUM(IF('[5]2013-2016 Projects'!$O$4:$O$202="New-80",'[5]2013-2016 Projects'!$V$4:$V$202,0))</f>
        <v>#REF!</v>
      </c>
      <c r="D233" s="214" t="e">
        <f t="array" ref="D233">SUM(IF('[5]2013-2016 Projects'!$O$4:$O$202="New-80",'[5]2013-2016 Projects'!$V$4:$V$202,0))</f>
        <v>#REF!</v>
      </c>
      <c r="E233" s="214" t="e">
        <f t="array" ref="E233">SUM(IF('[5]2013-2016 Projects'!$O$4:$O$202="New-80",'[5]2013-2016 Projects'!$V$4:$V$202,0))</f>
        <v>#REF!</v>
      </c>
      <c r="F233" s="214" t="e">
        <f t="array" ref="F233">SUM(IF('[5]2013-2016 Projects'!$O$4:$O$202="New-80",'[5]2013-2016 Projects'!$V$4:$V$202,0))</f>
        <v>#REF!</v>
      </c>
      <c r="G233" s="214"/>
      <c r="H233" s="181">
        <f t="array" ref="H233">SUM(IF('2014-2017 Projects'!$T$5:$T$158="New-80",'2014-2017 Projects'!$AK$5:$AK$158,0))</f>
        <v>89536108</v>
      </c>
      <c r="I233" s="181"/>
      <c r="J233" s="181"/>
      <c r="K233" s="181"/>
      <c r="L233" s="181"/>
      <c r="M233" s="181"/>
      <c r="N233" s="181"/>
      <c r="O233" s="181"/>
      <c r="P233" s="181"/>
      <c r="Q233" s="181"/>
      <c r="R233" s="181"/>
      <c r="S233" s="181"/>
      <c r="T233" s="181"/>
      <c r="U233" s="181"/>
      <c r="V233" s="181"/>
      <c r="W233" s="181"/>
      <c r="X233" s="181"/>
      <c r="Y233" s="181"/>
      <c r="Z233" s="181"/>
      <c r="AA233" s="181"/>
      <c r="AB233" s="181"/>
      <c r="AC233" s="181"/>
      <c r="AD233" s="181"/>
      <c r="AE233" s="181"/>
      <c r="AF233" s="181"/>
      <c r="AG233" s="181"/>
      <c r="AH233" s="181"/>
      <c r="AI233" s="181"/>
      <c r="AJ233" s="181"/>
      <c r="AK233" s="181"/>
      <c r="AL233" s="181"/>
      <c r="AM233" s="181"/>
      <c r="AN233" s="181">
        <f t="array" ref="AN233">SUM(IF('2014-2017 Projects'!$T$5:$T$158="New-80",'2014-2017 Projects'!$CE$5:$CE$158,0))</f>
        <v>162318500</v>
      </c>
      <c r="AO233" s="181">
        <f t="array" ref="AO233">SUM(IF('2014-2017 Projects'!$T$5:$T$158="New-80",'2014-2017 Projects'!$CF$5:$CF$158,0))</f>
        <v>266264685</v>
      </c>
    </row>
    <row r="234" spans="1:41" ht="13.5">
      <c r="A234" s="198" t="s">
        <v>36</v>
      </c>
      <c r="B234" s="215"/>
      <c r="C234" s="215"/>
      <c r="D234" s="215"/>
      <c r="E234" s="215"/>
      <c r="F234" s="215"/>
      <c r="G234" s="215"/>
      <c r="H234" s="215"/>
      <c r="I234" s="215"/>
      <c r="J234" s="215"/>
      <c r="K234" s="215"/>
      <c r="L234" s="215"/>
      <c r="M234" s="215"/>
      <c r="N234" s="215"/>
      <c r="O234" s="215"/>
      <c r="P234" s="215"/>
      <c r="Q234" s="215"/>
      <c r="R234" s="215"/>
      <c r="S234" s="215"/>
      <c r="T234" s="215"/>
      <c r="U234" s="215"/>
      <c r="V234" s="215"/>
      <c r="W234" s="215"/>
      <c r="X234" s="215"/>
      <c r="Y234" s="215"/>
      <c r="Z234" s="215"/>
      <c r="AA234" s="215"/>
      <c r="AB234" s="215"/>
      <c r="AC234" s="215"/>
      <c r="AD234" s="215"/>
      <c r="AE234" s="215"/>
      <c r="AF234" s="215"/>
      <c r="AG234" s="215"/>
      <c r="AH234" s="215"/>
      <c r="AI234" s="215"/>
      <c r="AJ234" s="215"/>
      <c r="AK234" s="215"/>
      <c r="AL234" s="215"/>
      <c r="AM234" s="215"/>
      <c r="AN234" s="215"/>
      <c r="AO234" s="215"/>
    </row>
    <row r="235" spans="1:41" ht="13.5">
      <c r="A235" s="210"/>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177"/>
      <c r="AC235" s="177"/>
      <c r="AD235" s="177"/>
      <c r="AE235" s="177"/>
      <c r="AF235" s="177"/>
      <c r="AG235" s="177"/>
      <c r="AH235" s="177"/>
      <c r="AI235" s="177"/>
      <c r="AJ235" s="177"/>
      <c r="AK235" s="177"/>
      <c r="AL235" s="177"/>
      <c r="AM235" s="177"/>
      <c r="AN235" s="177"/>
      <c r="AO235" s="177"/>
    </row>
    <row r="236" spans="1:41" ht="13.5">
      <c r="A236" s="205" t="s">
        <v>5</v>
      </c>
      <c r="B236" s="186" t="e">
        <f>SUM(B237:B248)</f>
        <v>#REF!</v>
      </c>
      <c r="C236" s="186" t="e">
        <f>SUM(C237:C248)</f>
        <v>#REF!</v>
      </c>
      <c r="D236" s="186" t="e">
        <f>SUM(D237:D248)</f>
        <v>#REF!</v>
      </c>
      <c r="E236" s="186" t="e">
        <f>SUM(E237:E248)</f>
        <v>#REF!</v>
      </c>
      <c r="F236" s="186" t="e">
        <f>SUM(F237:F248)</f>
        <v>#REF!</v>
      </c>
      <c r="G236" s="186"/>
      <c r="H236" s="186">
        <f>SUM(H237:H248)</f>
        <v>65150000</v>
      </c>
      <c r="I236" s="186"/>
      <c r="J236" s="186"/>
      <c r="K236" s="186"/>
      <c r="L236" s="186"/>
      <c r="M236" s="186"/>
      <c r="N236" s="186"/>
      <c r="O236" s="186"/>
      <c r="P236" s="186"/>
      <c r="Q236" s="186"/>
      <c r="R236" s="186"/>
      <c r="S236" s="186"/>
      <c r="T236" s="186"/>
      <c r="U236" s="186"/>
      <c r="V236" s="186"/>
      <c r="W236" s="186"/>
      <c r="X236" s="186"/>
      <c r="Y236" s="186"/>
      <c r="Z236" s="186"/>
      <c r="AA236" s="186"/>
      <c r="AB236" s="186"/>
      <c r="AC236" s="186"/>
      <c r="AD236" s="186"/>
      <c r="AE236" s="186"/>
      <c r="AF236" s="186"/>
      <c r="AG236" s="186"/>
      <c r="AH236" s="186"/>
      <c r="AI236" s="186"/>
      <c r="AJ236" s="186"/>
      <c r="AK236" s="186"/>
      <c r="AL236" s="186"/>
      <c r="AM236" s="186"/>
      <c r="AN236" s="186">
        <f>SUM(AN237:AN248)</f>
        <v>80128000</v>
      </c>
      <c r="AO236" s="186">
        <f>SUM(AO237:AO248)</f>
        <v>88144000</v>
      </c>
    </row>
    <row r="237" spans="1:41" ht="13.5">
      <c r="A237" s="197" t="s">
        <v>377</v>
      </c>
      <c r="B237" s="214" t="e">
        <f t="array" ref="B237">SUM(IF('[5]2013-2016 Projects'!$O$4:$O$202="New-250",'[5]2013-2016 Projects'!$V$4:$V$202,0))</f>
        <v>#REF!</v>
      </c>
      <c r="C237" s="214" t="e">
        <f t="array" ref="C237">SUM(IF('[5]2013-2016 Projects'!$O$4:$O$202="New-250",'[5]2013-2016 Projects'!$V$4:$V$202,0))</f>
        <v>#REF!</v>
      </c>
      <c r="D237" s="214" t="e">
        <f t="array" ref="D237">SUM(IF('[5]2013-2016 Projects'!$O$4:$O$202="New-250",'[5]2013-2016 Projects'!$V$4:$V$202,0))</f>
        <v>#REF!</v>
      </c>
      <c r="E237" s="214" t="e">
        <f t="array" ref="E237">SUM(IF('[5]2013-2016 Projects'!$O$4:$O$202="New-250",'[5]2013-2016 Projects'!$V$4:$V$202,0))</f>
        <v>#REF!</v>
      </c>
      <c r="F237" s="214" t="e">
        <f t="array" ref="F237">SUM(IF('[5]2013-2016 Projects'!$O$4:$O$202="New-250",'[5]2013-2016 Projects'!$V$4:$V$202,0))</f>
        <v>#REF!</v>
      </c>
      <c r="G237" s="214"/>
      <c r="H237" s="181">
        <f t="array" ref="H237">SUM(IF('2014-2017 Projects'!$T$5:$T$158="New-250",'2014-2017 Projects'!$AK$5:$AK$158,0))</f>
        <v>18600000</v>
      </c>
      <c r="I237" s="181"/>
      <c r="J237" s="181"/>
      <c r="K237" s="181"/>
      <c r="L237" s="181"/>
      <c r="M237" s="181"/>
      <c r="N237" s="181"/>
      <c r="O237" s="181"/>
      <c r="P237" s="181"/>
      <c r="Q237" s="181"/>
      <c r="R237" s="181"/>
      <c r="S237" s="181"/>
      <c r="T237" s="181"/>
      <c r="U237" s="181"/>
      <c r="V237" s="181"/>
      <c r="W237" s="181"/>
      <c r="X237" s="181"/>
      <c r="Y237" s="181"/>
      <c r="Z237" s="181"/>
      <c r="AA237" s="181"/>
      <c r="AB237" s="181"/>
      <c r="AC237" s="181"/>
      <c r="AD237" s="181"/>
      <c r="AE237" s="181"/>
      <c r="AF237" s="181"/>
      <c r="AG237" s="181"/>
      <c r="AH237" s="181"/>
      <c r="AI237" s="181"/>
      <c r="AJ237" s="181"/>
      <c r="AK237" s="181"/>
      <c r="AL237" s="181"/>
      <c r="AM237" s="181"/>
      <c r="AN237" s="181">
        <f t="array" ref="AN237">SUM(IF('2014-2017 Projects'!$T$5:$T$158="New-250",'2014-2017 Projects'!$CE$5:$CE$158,0))</f>
        <v>18000000</v>
      </c>
      <c r="AO237" s="181">
        <f t="array" ref="AO237">SUM(IF('2014-2017 Projects'!$T$5:$T$158="New-250",'2014-2017 Projects'!$CF$5:$CF$158,0))</f>
        <v>18400000</v>
      </c>
    </row>
    <row r="238" spans="1:41" ht="13.5">
      <c r="A238" s="197" t="s">
        <v>378</v>
      </c>
      <c r="B238" s="181" t="e">
        <f>B264</f>
        <v>#REF!</v>
      </c>
      <c r="C238" s="181" t="e">
        <f>C264</f>
        <v>#REF!</v>
      </c>
      <c r="D238" s="181" t="e">
        <f>D264</f>
        <v>#REF!</v>
      </c>
      <c r="E238" s="181" t="e">
        <f>E264</f>
        <v>#REF!</v>
      </c>
      <c r="F238" s="181" t="e">
        <f>F264</f>
        <v>#REF!</v>
      </c>
      <c r="G238" s="181"/>
      <c r="H238" s="181">
        <f>+H264</f>
        <v>4000000</v>
      </c>
      <c r="I238" s="181"/>
      <c r="J238" s="181"/>
      <c r="K238" s="181"/>
      <c r="L238" s="181"/>
      <c r="M238" s="181"/>
      <c r="N238" s="181"/>
      <c r="O238" s="181"/>
      <c r="P238" s="181"/>
      <c r="Q238" s="181"/>
      <c r="R238" s="181"/>
      <c r="S238" s="181"/>
      <c r="T238" s="181"/>
      <c r="U238" s="181"/>
      <c r="V238" s="181"/>
      <c r="W238" s="181"/>
      <c r="X238" s="181"/>
      <c r="Y238" s="181"/>
      <c r="Z238" s="181"/>
      <c r="AA238" s="181"/>
      <c r="AB238" s="181"/>
      <c r="AC238" s="181"/>
      <c r="AD238" s="181"/>
      <c r="AE238" s="181"/>
      <c r="AF238" s="181"/>
      <c r="AG238" s="181"/>
      <c r="AH238" s="181"/>
      <c r="AI238" s="181"/>
      <c r="AJ238" s="181"/>
      <c r="AK238" s="181"/>
      <c r="AL238" s="181"/>
      <c r="AM238" s="181"/>
      <c r="AN238" s="181">
        <f>+AN264</f>
        <v>4000000</v>
      </c>
      <c r="AO238" s="181">
        <f>+AO264</f>
        <v>4000000</v>
      </c>
    </row>
    <row r="239" spans="1:41" ht="13.5">
      <c r="A239" s="197" t="s">
        <v>379</v>
      </c>
      <c r="B239" s="181" t="e">
        <f t="array" ref="B239">SUM(IF('[5]2013-2016 Projects'!$O$4:$O$202="New-260",'[5]2013-2016 Projects'!$V$4:$V$202,0))</f>
        <v>#REF!</v>
      </c>
      <c r="C239" s="181" t="e">
        <f t="array" ref="C239">SUM(IF('[5]2013-2016 Projects'!$O$4:$O$202="New-260",'[5]2013-2016 Projects'!$V$4:$V$202,0))</f>
        <v>#REF!</v>
      </c>
      <c r="D239" s="181" t="e">
        <f t="array" ref="D239">SUM(IF('[5]2013-2016 Projects'!$O$4:$O$202="New-260",'[5]2013-2016 Projects'!$V$4:$V$202,0))</f>
        <v>#REF!</v>
      </c>
      <c r="E239" s="181" t="e">
        <f t="array" ref="E239">SUM(IF('[5]2013-2016 Projects'!$O$4:$O$202="New-260",'[5]2013-2016 Projects'!$V$4:$V$202,0))</f>
        <v>#REF!</v>
      </c>
      <c r="F239" s="181" t="e">
        <f t="array" ref="F239">SUM(IF('[5]2013-2016 Projects'!$O$4:$O$202="New-260",'[5]2013-2016 Projects'!$V$4:$V$202,0))</f>
        <v>#REF!</v>
      </c>
      <c r="G239" s="181"/>
      <c r="H239" s="181">
        <f t="array" ref="H239">SUM(IF('2014-2017 Projects'!$T$5:$T$158="New-260",'2014-2017 Projects'!$AK$5:$AK$158,0))</f>
        <v>3500000</v>
      </c>
      <c r="I239" s="181"/>
      <c r="J239" s="181"/>
      <c r="K239" s="181"/>
      <c r="L239" s="181"/>
      <c r="M239" s="181"/>
      <c r="N239" s="181"/>
      <c r="O239" s="181"/>
      <c r="P239" s="181"/>
      <c r="Q239" s="181"/>
      <c r="R239" s="181"/>
      <c r="S239" s="181"/>
      <c r="T239" s="181"/>
      <c r="U239" s="181"/>
      <c r="V239" s="181"/>
      <c r="W239" s="181"/>
      <c r="X239" s="181"/>
      <c r="Y239" s="181"/>
      <c r="Z239" s="181"/>
      <c r="AA239" s="181"/>
      <c r="AB239" s="181"/>
      <c r="AC239" s="181"/>
      <c r="AD239" s="181"/>
      <c r="AE239" s="181"/>
      <c r="AF239" s="181"/>
      <c r="AG239" s="181"/>
      <c r="AH239" s="181"/>
      <c r="AI239" s="181"/>
      <c r="AJ239" s="181"/>
      <c r="AK239" s="181"/>
      <c r="AL239" s="181"/>
      <c r="AM239" s="181"/>
      <c r="AN239" s="181">
        <f t="array" ref="AN239">SUM(IF('2014-2017 Projects'!$T$5:$T$158="New-260",'2014-2017 Projects'!$CE$5:$CE$158,0))</f>
        <v>3500000</v>
      </c>
      <c r="AO239" s="181">
        <f t="array" ref="AO239">SUM(IF('2014-2017 Projects'!$T$5:$T$158="New-260",'2014-2017 Projects'!$CF$5:$CF$158,0))</f>
        <v>12300000</v>
      </c>
    </row>
    <row r="240" spans="1:41" ht="13.5">
      <c r="A240" s="197" t="s">
        <v>380</v>
      </c>
      <c r="B240" s="181" t="e">
        <f t="array" ref="B240">SUM(IF('[5]2013-2016 Projects'!$O$4:$O$202="New-271",'[5]2013-2016 Projects'!$V$4:$V$202,0))</f>
        <v>#REF!</v>
      </c>
      <c r="C240" s="181" t="e">
        <f t="array" ref="C240">SUM(IF('[5]2013-2016 Projects'!$O$4:$O$202="New-271",'[5]2013-2016 Projects'!$V$4:$V$202,0))</f>
        <v>#REF!</v>
      </c>
      <c r="D240" s="181" t="e">
        <f t="array" ref="D240">SUM(IF('[5]2013-2016 Projects'!$O$4:$O$202="New-271",'[5]2013-2016 Projects'!$V$4:$V$202,0))</f>
        <v>#REF!</v>
      </c>
      <c r="E240" s="181" t="e">
        <f t="array" ref="E240">SUM(IF('[5]2013-2016 Projects'!$O$4:$O$202="New-271",'[5]2013-2016 Projects'!$V$4:$V$202,0))</f>
        <v>#REF!</v>
      </c>
      <c r="F240" s="181" t="e">
        <f t="array" ref="F240">SUM(IF('[5]2013-2016 Projects'!$O$4:$O$202="New-271",'[5]2013-2016 Projects'!$V$4:$V$202,0))</f>
        <v>#REF!</v>
      </c>
      <c r="G240" s="181"/>
      <c r="H240" s="181">
        <v>0</v>
      </c>
      <c r="I240" s="181"/>
      <c r="J240" s="181"/>
      <c r="K240" s="181"/>
      <c r="L240" s="181"/>
      <c r="M240" s="181"/>
      <c r="N240" s="181"/>
      <c r="O240" s="181"/>
      <c r="P240" s="181"/>
      <c r="Q240" s="181"/>
      <c r="R240" s="181"/>
      <c r="S240" s="181"/>
      <c r="T240" s="181"/>
      <c r="U240" s="181"/>
      <c r="V240" s="181"/>
      <c r="W240" s="181"/>
      <c r="X240" s="181"/>
      <c r="Y240" s="181"/>
      <c r="Z240" s="181"/>
      <c r="AA240" s="181"/>
      <c r="AB240" s="181"/>
      <c r="AC240" s="181"/>
      <c r="AD240" s="181"/>
      <c r="AE240" s="181"/>
      <c r="AF240" s="181"/>
      <c r="AG240" s="181"/>
      <c r="AH240" s="181"/>
      <c r="AI240" s="181"/>
      <c r="AJ240" s="181"/>
      <c r="AK240" s="181"/>
      <c r="AL240" s="181"/>
      <c r="AM240" s="181"/>
      <c r="AN240" s="181">
        <v>0</v>
      </c>
      <c r="AO240" s="181">
        <v>0</v>
      </c>
    </row>
    <row r="241" spans="1:41" ht="13.5">
      <c r="A241" s="197" t="s">
        <v>381</v>
      </c>
      <c r="B241" s="181" t="e">
        <f t="array" ref="B241">SUM(IF('[5]2013-2016 Projects'!$O$4:$O$202="New-270",'[5]2013-2016 Projects'!$V$4:$V$202,0))</f>
        <v>#REF!</v>
      </c>
      <c r="C241" s="181" t="e">
        <f t="array" ref="C241">SUM(IF('[5]2013-2016 Projects'!$O$4:$O$202="New-270",'[5]2013-2016 Projects'!$V$4:$V$202,0))</f>
        <v>#REF!</v>
      </c>
      <c r="D241" s="181" t="e">
        <f t="array" ref="D241">SUM(IF('[5]2013-2016 Projects'!$O$4:$O$202="New-270",'[5]2013-2016 Projects'!$V$4:$V$202,0))</f>
        <v>#REF!</v>
      </c>
      <c r="E241" s="181" t="e">
        <f t="array" ref="E241">SUM(IF('[5]2013-2016 Projects'!$O$4:$O$202="New-270",'[5]2013-2016 Projects'!$V$4:$V$202,0))</f>
        <v>#REF!</v>
      </c>
      <c r="F241" s="181" t="e">
        <f t="array" ref="F241">SUM(IF('[5]2013-2016 Projects'!$O$4:$O$202="New-270",'[5]2013-2016 Projects'!$V$4:$V$202,0))</f>
        <v>#REF!</v>
      </c>
      <c r="G241" s="181"/>
      <c r="H241" s="181">
        <f t="array" ref="H241">SUM(IF('2014-2017 Projects'!$T$5:$T$158="New-270",'2014-2017 Projects'!$AK$5:$AK$158,0))</f>
        <v>28550000</v>
      </c>
      <c r="I241" s="181"/>
      <c r="J241" s="181"/>
      <c r="K241" s="181"/>
      <c r="L241" s="181"/>
      <c r="M241" s="181"/>
      <c r="N241" s="181"/>
      <c r="O241" s="181"/>
      <c r="P241" s="181"/>
      <c r="Q241" s="181"/>
      <c r="R241" s="181"/>
      <c r="S241" s="181"/>
      <c r="T241" s="181"/>
      <c r="U241" s="181"/>
      <c r="V241" s="181"/>
      <c r="W241" s="181"/>
      <c r="X241" s="181"/>
      <c r="Y241" s="181"/>
      <c r="Z241" s="181"/>
      <c r="AA241" s="181"/>
      <c r="AB241" s="181"/>
      <c r="AC241" s="181"/>
      <c r="AD241" s="181"/>
      <c r="AE241" s="181"/>
      <c r="AF241" s="181"/>
      <c r="AG241" s="181"/>
      <c r="AH241" s="181"/>
      <c r="AI241" s="181"/>
      <c r="AJ241" s="181"/>
      <c r="AK241" s="181"/>
      <c r="AL241" s="181"/>
      <c r="AM241" s="181"/>
      <c r="AN241" s="181">
        <f t="array" ref="AN241">SUM(IF('2014-2017 Projects'!$T$5:$T$158="New-270",'2014-2017 Projects'!$CE$5:$CE$158,0))</f>
        <v>37750000</v>
      </c>
      <c r="AO241" s="181">
        <f t="array" ref="AO241">SUM(IF('2014-2017 Projects'!$T$5:$T$158="New-270",'2014-2017 Projects'!$CF$5:$CF$158,0))</f>
        <v>35700000</v>
      </c>
    </row>
    <row r="242" spans="1:41" ht="13.5">
      <c r="A242" s="197" t="s">
        <v>382</v>
      </c>
      <c r="B242" s="182"/>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c r="AA242" s="182"/>
      <c r="AB242" s="182"/>
      <c r="AC242" s="182"/>
      <c r="AD242" s="182"/>
      <c r="AE242" s="182"/>
      <c r="AF242" s="182"/>
      <c r="AG242" s="182"/>
      <c r="AH242" s="182"/>
      <c r="AI242" s="182"/>
      <c r="AJ242" s="182"/>
      <c r="AK242" s="182"/>
      <c r="AL242" s="182"/>
      <c r="AM242" s="182"/>
      <c r="AN242" s="182"/>
      <c r="AO242" s="182"/>
    </row>
    <row r="243" spans="1:41" ht="13.5">
      <c r="A243" s="197" t="s">
        <v>383</v>
      </c>
      <c r="B243" s="181" t="e">
        <f t="array" ref="B243">SUM(IF('[5]2013-2016 Projects'!$O$4:$O$202="New-290",'[5]2013-2016 Projects'!$V$4:$V$202,0))</f>
        <v>#REF!</v>
      </c>
      <c r="C243" s="181" t="e">
        <f t="array" ref="C243">SUM(IF('[5]2013-2016 Projects'!$O$4:$O$202="New-290",'[5]2013-2016 Projects'!$V$4:$V$202,0))</f>
        <v>#REF!</v>
      </c>
      <c r="D243" s="181" t="e">
        <f t="array" ref="D243">SUM(IF('[5]2013-2016 Projects'!$O$4:$O$202="New-290",'[5]2013-2016 Projects'!$V$4:$V$202,0))</f>
        <v>#REF!</v>
      </c>
      <c r="E243" s="181" t="e">
        <f t="array" ref="E243">SUM(IF('[5]2013-2016 Projects'!$O$4:$O$202="New-290",'[5]2013-2016 Projects'!$V$4:$V$202,0))</f>
        <v>#REF!</v>
      </c>
      <c r="F243" s="181" t="e">
        <f t="array" ref="F243">SUM(IF('[5]2013-2016 Projects'!$O$4:$O$202="New-290",'[5]2013-2016 Projects'!$V$4:$V$202,0))</f>
        <v>#REF!</v>
      </c>
      <c r="G243" s="181"/>
      <c r="H243" s="181">
        <f t="array" ref="H243">SUM(IF('2014-2017 Projects'!$T$5:$T$158="New-290",'2014-2017 Projects'!$AK$5:$AK$158,0))</f>
        <v>0</v>
      </c>
      <c r="I243" s="181"/>
      <c r="J243" s="181"/>
      <c r="K243" s="181"/>
      <c r="L243" s="181"/>
      <c r="M243" s="181"/>
      <c r="N243" s="181"/>
      <c r="O243" s="181"/>
      <c r="P243" s="181"/>
      <c r="Q243" s="181"/>
      <c r="R243" s="181"/>
      <c r="S243" s="181"/>
      <c r="T243" s="181"/>
      <c r="U243" s="181"/>
      <c r="V243" s="181"/>
      <c r="W243" s="181"/>
      <c r="X243" s="181"/>
      <c r="Y243" s="181"/>
      <c r="Z243" s="181"/>
      <c r="AA243" s="181"/>
      <c r="AB243" s="181"/>
      <c r="AC243" s="181"/>
      <c r="AD243" s="181"/>
      <c r="AE243" s="181"/>
      <c r="AF243" s="181"/>
      <c r="AG243" s="181"/>
      <c r="AH243" s="181"/>
      <c r="AI243" s="181"/>
      <c r="AJ243" s="181"/>
      <c r="AK243" s="181"/>
      <c r="AL243" s="181"/>
      <c r="AM243" s="181"/>
      <c r="AN243" s="181">
        <f t="array" ref="AN243">SUM(IF('2014-2017 Projects'!$T$5:$T$158="New-290",'2014-2017 Projects'!$CE$5:$CE$158,0))</f>
        <v>0</v>
      </c>
      <c r="AO243" s="181">
        <f t="array" ref="AO243">SUM(IF('2014-2017 Projects'!$T$5:$T$158="New-290",'2014-2017 Projects'!$CF$5:$CF$158,0))</f>
        <v>0</v>
      </c>
    </row>
    <row r="244" spans="1:41" ht="13.5">
      <c r="A244" s="197" t="s">
        <v>384</v>
      </c>
      <c r="B244" s="181" t="e">
        <f t="array" ref="B244">SUM(IF('[5]2013-2016 Projects'!$O$4:$O$202="New-312",'[5]2013-2016 Projects'!$V$4:$V$202,0))</f>
        <v>#REF!</v>
      </c>
      <c r="C244" s="181" t="e">
        <f t="array" ref="C244">SUM(IF('[5]2013-2016 Projects'!$O$4:$O$202="New-312",'[5]2013-2016 Projects'!$V$4:$V$202,0))</f>
        <v>#REF!</v>
      </c>
      <c r="D244" s="181" t="e">
        <f t="array" ref="D244">SUM(IF('[5]2013-2016 Projects'!$O$4:$O$202="New-312",'[5]2013-2016 Projects'!$V$4:$V$202,0))</f>
        <v>#REF!</v>
      </c>
      <c r="E244" s="181" t="e">
        <f t="array" ref="E244">SUM(IF('[5]2013-2016 Projects'!$O$4:$O$202="New-312",'[5]2013-2016 Projects'!$V$4:$V$202,0))</f>
        <v>#REF!</v>
      </c>
      <c r="F244" s="181" t="e">
        <f t="array" ref="F244">SUM(IF('[5]2013-2016 Projects'!$O$4:$O$202="New-312",'[5]2013-2016 Projects'!$V$4:$V$202,0))</f>
        <v>#REF!</v>
      </c>
      <c r="G244" s="181"/>
      <c r="H244" s="181">
        <f t="array" ref="H244">SUM(IF('2014-2017 Projects'!$T$5:$T$158="New-312",'2014-2017 Projects'!$AK$5:$AK$158,0))</f>
        <v>5500000</v>
      </c>
      <c r="I244" s="181"/>
      <c r="J244" s="181"/>
      <c r="K244" s="181"/>
      <c r="L244" s="181"/>
      <c r="M244" s="181"/>
      <c r="N244" s="181"/>
      <c r="O244" s="181"/>
      <c r="P244" s="181"/>
      <c r="Q244" s="181"/>
      <c r="R244" s="181"/>
      <c r="S244" s="181"/>
      <c r="T244" s="181"/>
      <c r="U244" s="181"/>
      <c r="V244" s="181"/>
      <c r="W244" s="181"/>
      <c r="X244" s="181"/>
      <c r="Y244" s="181"/>
      <c r="Z244" s="181"/>
      <c r="AA244" s="181"/>
      <c r="AB244" s="181"/>
      <c r="AC244" s="181"/>
      <c r="AD244" s="181"/>
      <c r="AE244" s="181"/>
      <c r="AF244" s="181"/>
      <c r="AG244" s="181"/>
      <c r="AH244" s="181"/>
      <c r="AI244" s="181"/>
      <c r="AJ244" s="181"/>
      <c r="AK244" s="181"/>
      <c r="AL244" s="181"/>
      <c r="AM244" s="181"/>
      <c r="AN244" s="181">
        <f t="array" ref="AN244">SUM(IF('2014-2017 Projects'!$T$5:$T$158="New-312",'2014-2017 Projects'!$CE$5:$CE$158,0))</f>
        <v>0</v>
      </c>
      <c r="AO244" s="181">
        <f t="array" ref="AO244">SUM(IF('2014-2017 Projects'!$T$5:$T$158="New-312",'2014-2017 Projects'!$CF$5:$CF$158,0))</f>
        <v>0</v>
      </c>
    </row>
    <row r="245" spans="1:41" ht="13.5">
      <c r="A245" s="197" t="s">
        <v>385</v>
      </c>
      <c r="B245" s="182"/>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c r="AA245" s="182"/>
      <c r="AB245" s="182"/>
      <c r="AC245" s="182"/>
      <c r="AD245" s="182"/>
      <c r="AE245" s="182"/>
      <c r="AF245" s="182"/>
      <c r="AG245" s="182"/>
      <c r="AH245" s="182"/>
      <c r="AI245" s="182"/>
      <c r="AJ245" s="182"/>
      <c r="AK245" s="182"/>
      <c r="AL245" s="182"/>
      <c r="AM245" s="182"/>
      <c r="AN245" s="182"/>
      <c r="AO245" s="182"/>
    </row>
    <row r="246" spans="1:41" ht="13.5">
      <c r="A246" s="197" t="s">
        <v>386</v>
      </c>
      <c r="B246" s="182"/>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c r="AA246" s="182"/>
      <c r="AB246" s="182"/>
      <c r="AC246" s="182"/>
      <c r="AD246" s="182"/>
      <c r="AE246" s="182"/>
      <c r="AF246" s="182"/>
      <c r="AG246" s="182"/>
      <c r="AH246" s="182"/>
      <c r="AI246" s="182"/>
      <c r="AJ246" s="182"/>
      <c r="AK246" s="182"/>
      <c r="AL246" s="182"/>
      <c r="AM246" s="182"/>
      <c r="AN246" s="182"/>
      <c r="AO246" s="182"/>
    </row>
    <row r="247" spans="1:41" ht="13.5">
      <c r="A247" s="197" t="s">
        <v>387</v>
      </c>
      <c r="B247" s="182"/>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row>
    <row r="248" spans="1:41" ht="13.5">
      <c r="A248" s="198" t="s">
        <v>36</v>
      </c>
      <c r="B248" s="211" t="e">
        <f t="array" ref="B248">SUM(IF('[5]2013-2016 Projects'!$O$4:$O$202="New-320",'[5]2013-2016 Projects'!$V$4:$V$202,0))</f>
        <v>#REF!</v>
      </c>
      <c r="C248" s="211" t="e">
        <f t="array" ref="C248">SUM(IF('[5]2013-2016 Projects'!$O$4:$O$202="New-320",'[5]2013-2016 Projects'!$V$4:$V$202,0))</f>
        <v>#REF!</v>
      </c>
      <c r="D248" s="211" t="e">
        <f t="array" ref="D248">SUM(IF('[5]2013-2016 Projects'!$O$4:$O$202="New-320",'[5]2013-2016 Projects'!$V$4:$V$202,0))</f>
        <v>#REF!</v>
      </c>
      <c r="E248" s="211" t="e">
        <f t="array" ref="E248">SUM(IF('[5]2013-2016 Projects'!$O$4:$O$202="New-320",'[5]2013-2016 Projects'!$V$4:$V$202,0))</f>
        <v>#REF!</v>
      </c>
      <c r="F248" s="211" t="e">
        <f t="array" ref="F248">SUM(IF('[5]2013-2016 Projects'!$O$4:$O$202="New-320",'[5]2013-2016 Projects'!$V$4:$V$202,0))</f>
        <v>#REF!</v>
      </c>
      <c r="G248" s="211"/>
      <c r="H248" s="181">
        <f t="array" ref="H248">SUM(IF('2014-2017 Projects'!$T$5:$T$158="New-320",'2014-2017 Projects'!$AK$5:$AK$158,0))</f>
        <v>5000000</v>
      </c>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f t="array" ref="AN248">SUM(IF('2014-2017 Projects'!$T$5:$T$158="New-320",'2014-2017 Projects'!$CE$5:$CE$158,0))</f>
        <v>16878000</v>
      </c>
      <c r="AO248" s="181">
        <f t="array" ref="AO248">SUM(IF('2014-2017 Projects'!$T$5:$T$158="New-320",'2014-2017 Projects'!$CF$5:$CF$158,0))</f>
        <v>17744000</v>
      </c>
    </row>
    <row r="249" spans="1:41" ht="13.5">
      <c r="A249" s="210"/>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c r="AK249" s="177"/>
      <c r="AL249" s="177"/>
      <c r="AM249" s="177"/>
      <c r="AN249" s="177"/>
      <c r="AO249" s="177"/>
    </row>
    <row r="250" spans="1:41" ht="13.5">
      <c r="A250" s="205" t="s">
        <v>388</v>
      </c>
      <c r="B250" s="177">
        <f>SUM(B251:B252)</f>
        <v>0</v>
      </c>
      <c r="C250" s="177">
        <f>SUM(C251:C252)</f>
        <v>0</v>
      </c>
      <c r="D250" s="177">
        <f>SUM(D251:D252)</f>
        <v>0</v>
      </c>
      <c r="E250" s="177">
        <f>SUM(E251:E252)</f>
        <v>0</v>
      </c>
      <c r="F250" s="177">
        <f>SUM(F251:F252)</f>
        <v>0</v>
      </c>
      <c r="G250" s="177"/>
      <c r="H250" s="177">
        <f>SUM(H251:H252)</f>
        <v>0</v>
      </c>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f>SUM(AN251:AN252)</f>
        <v>0</v>
      </c>
      <c r="AO250" s="177">
        <f>SUM(AO251:AO252)</f>
        <v>0</v>
      </c>
    </row>
    <row r="251" spans="1:41" ht="13.5">
      <c r="A251" s="216" t="s">
        <v>389</v>
      </c>
      <c r="B251" s="217"/>
      <c r="C251" s="217"/>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row>
    <row r="252" spans="1:41" ht="13.5">
      <c r="A252" s="216"/>
      <c r="B252" s="215"/>
      <c r="C252" s="215"/>
      <c r="D252" s="215"/>
      <c r="E252" s="215"/>
      <c r="F252" s="215"/>
      <c r="G252" s="215"/>
      <c r="H252" s="215"/>
      <c r="I252" s="215"/>
      <c r="J252" s="215"/>
      <c r="K252" s="215"/>
      <c r="L252" s="215"/>
      <c r="M252" s="215"/>
      <c r="N252" s="215"/>
      <c r="O252" s="215"/>
      <c r="P252" s="215"/>
      <c r="Q252" s="215"/>
      <c r="R252" s="215"/>
      <c r="S252" s="215"/>
      <c r="T252" s="215"/>
      <c r="U252" s="215"/>
      <c r="V252" s="215"/>
      <c r="W252" s="215"/>
      <c r="X252" s="215"/>
      <c r="Y252" s="215"/>
      <c r="Z252" s="215"/>
      <c r="AA252" s="215"/>
      <c r="AB252" s="215"/>
      <c r="AC252" s="215"/>
      <c r="AD252" s="215"/>
      <c r="AE252" s="215"/>
      <c r="AF252" s="215"/>
      <c r="AG252" s="215"/>
      <c r="AH252" s="215"/>
      <c r="AI252" s="215"/>
      <c r="AJ252" s="215"/>
      <c r="AK252" s="215"/>
      <c r="AL252" s="215"/>
      <c r="AM252" s="215"/>
      <c r="AN252" s="215"/>
      <c r="AO252" s="215"/>
    </row>
    <row r="253" spans="1:41" ht="13.5">
      <c r="A253" s="210"/>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c r="AA253" s="177"/>
      <c r="AB253" s="177"/>
      <c r="AC253" s="177"/>
      <c r="AD253" s="177"/>
      <c r="AE253" s="177"/>
      <c r="AF253" s="177"/>
      <c r="AG253" s="177"/>
      <c r="AH253" s="177"/>
      <c r="AI253" s="177"/>
      <c r="AJ253" s="177"/>
      <c r="AK253" s="177"/>
      <c r="AL253" s="177"/>
      <c r="AM253" s="177"/>
      <c r="AN253" s="177"/>
      <c r="AO253" s="177"/>
    </row>
    <row r="254" spans="1:41" ht="13.5">
      <c r="A254" s="205" t="s">
        <v>344</v>
      </c>
      <c r="B254" s="177">
        <f>SUM(B255:B256)</f>
        <v>0</v>
      </c>
      <c r="C254" s="177">
        <f>SUM(C255:C256)</f>
        <v>0</v>
      </c>
      <c r="D254" s="177">
        <f>SUM(D255:D256)</f>
        <v>0</v>
      </c>
      <c r="E254" s="177">
        <f>SUM(E255:E256)</f>
        <v>0</v>
      </c>
      <c r="F254" s="177">
        <f>SUM(F255:F256)</f>
        <v>0</v>
      </c>
      <c r="G254" s="177"/>
      <c r="H254" s="177">
        <f>SUM(H255:H256)</f>
        <v>0</v>
      </c>
      <c r="I254" s="177"/>
      <c r="J254" s="177"/>
      <c r="K254" s="177"/>
      <c r="L254" s="177"/>
      <c r="M254" s="177"/>
      <c r="N254" s="177"/>
      <c r="O254" s="177"/>
      <c r="P254" s="177"/>
      <c r="Q254" s="177"/>
      <c r="R254" s="177"/>
      <c r="S254" s="177"/>
      <c r="T254" s="177"/>
      <c r="U254" s="177"/>
      <c r="V254" s="177"/>
      <c r="W254" s="177"/>
      <c r="X254" s="177"/>
      <c r="Y254" s="177"/>
      <c r="Z254" s="177"/>
      <c r="AA254" s="177"/>
      <c r="AB254" s="177"/>
      <c r="AC254" s="177"/>
      <c r="AD254" s="177"/>
      <c r="AE254" s="177"/>
      <c r="AF254" s="177"/>
      <c r="AG254" s="177"/>
      <c r="AH254" s="177"/>
      <c r="AI254" s="177"/>
      <c r="AJ254" s="177"/>
      <c r="AK254" s="177"/>
      <c r="AL254" s="177"/>
      <c r="AM254" s="177"/>
      <c r="AN254" s="177">
        <f>SUM(AN255:AN256)</f>
        <v>0</v>
      </c>
      <c r="AO254" s="177">
        <f>SUM(AO255:AO256)</f>
        <v>0</v>
      </c>
    </row>
    <row r="255" spans="1:41" ht="13.5">
      <c r="A255" s="216" t="s">
        <v>389</v>
      </c>
      <c r="B255" s="217"/>
      <c r="C255" s="217"/>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row>
    <row r="256" spans="1:41" ht="13.5">
      <c r="A256" s="216"/>
      <c r="B256" s="215"/>
      <c r="C256" s="215"/>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c r="AA256" s="215"/>
      <c r="AB256" s="215"/>
      <c r="AC256" s="215"/>
      <c r="AD256" s="215"/>
      <c r="AE256" s="215"/>
      <c r="AF256" s="215"/>
      <c r="AG256" s="215"/>
      <c r="AH256" s="215"/>
      <c r="AI256" s="215"/>
      <c r="AJ256" s="215"/>
      <c r="AK256" s="215"/>
      <c r="AL256" s="215"/>
      <c r="AM256" s="215"/>
      <c r="AN256" s="215"/>
      <c r="AO256" s="215"/>
    </row>
    <row r="257" spans="1:41" ht="13.5">
      <c r="A257" s="210"/>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c r="AA257" s="177"/>
      <c r="AB257" s="177"/>
      <c r="AC257" s="177"/>
      <c r="AD257" s="177"/>
      <c r="AE257" s="177"/>
      <c r="AF257" s="177"/>
      <c r="AG257" s="177"/>
      <c r="AH257" s="177"/>
      <c r="AI257" s="177"/>
      <c r="AJ257" s="177"/>
      <c r="AK257" s="177"/>
      <c r="AL257" s="177"/>
      <c r="AM257" s="177"/>
      <c r="AN257" s="177"/>
      <c r="AO257" s="177"/>
    </row>
    <row r="258" spans="1:41" ht="13.5">
      <c r="A258" s="205" t="s">
        <v>345</v>
      </c>
      <c r="B258" s="177">
        <f>SUM(B259:B260)</f>
        <v>0</v>
      </c>
      <c r="C258" s="177">
        <f>SUM(C259:C260)</f>
        <v>0</v>
      </c>
      <c r="D258" s="177">
        <f>SUM(D259:D260)</f>
        <v>0</v>
      </c>
      <c r="E258" s="177">
        <f>SUM(E259:E260)</f>
        <v>0</v>
      </c>
      <c r="F258" s="177">
        <f>SUM(F259:F260)</f>
        <v>0</v>
      </c>
      <c r="G258" s="177"/>
      <c r="H258" s="177">
        <f>SUM(H259:H260)</f>
        <v>0</v>
      </c>
      <c r="I258" s="177"/>
      <c r="J258" s="177"/>
      <c r="K258" s="177"/>
      <c r="L258" s="177"/>
      <c r="M258" s="177"/>
      <c r="N258" s="177"/>
      <c r="O258" s="177"/>
      <c r="P258" s="177"/>
      <c r="Q258" s="177"/>
      <c r="R258" s="177"/>
      <c r="S258" s="177"/>
      <c r="T258" s="177"/>
      <c r="U258" s="177"/>
      <c r="V258" s="177"/>
      <c r="W258" s="177"/>
      <c r="X258" s="177"/>
      <c r="Y258" s="177"/>
      <c r="Z258" s="177"/>
      <c r="AA258" s="177"/>
      <c r="AB258" s="177"/>
      <c r="AC258" s="177"/>
      <c r="AD258" s="177"/>
      <c r="AE258" s="177"/>
      <c r="AF258" s="177"/>
      <c r="AG258" s="177"/>
      <c r="AH258" s="177"/>
      <c r="AI258" s="177"/>
      <c r="AJ258" s="177"/>
      <c r="AK258" s="177"/>
      <c r="AL258" s="177"/>
      <c r="AM258" s="177"/>
      <c r="AN258" s="177">
        <f>SUM(AN259:AN260)</f>
        <v>0</v>
      </c>
      <c r="AO258" s="177">
        <f>SUM(AO259:AO260)</f>
        <v>0</v>
      </c>
    </row>
    <row r="259" spans="1:41" ht="13.5">
      <c r="A259" s="197" t="s">
        <v>390</v>
      </c>
      <c r="B259" s="217"/>
      <c r="C259" s="217"/>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c r="AJ259" s="217"/>
      <c r="AK259" s="217"/>
      <c r="AL259" s="217"/>
      <c r="AM259" s="217"/>
      <c r="AN259" s="217"/>
      <c r="AO259" s="217"/>
    </row>
    <row r="260" spans="1:41" ht="13.5">
      <c r="A260" s="216" t="s">
        <v>391</v>
      </c>
      <c r="B260" s="215"/>
      <c r="C260" s="215"/>
      <c r="D260" s="215"/>
      <c r="E260" s="215"/>
      <c r="F260" s="215"/>
      <c r="G260" s="215"/>
      <c r="H260" s="215"/>
      <c r="I260" s="215"/>
      <c r="J260" s="215"/>
      <c r="K260" s="215"/>
      <c r="L260" s="215"/>
      <c r="M260" s="215"/>
      <c r="N260" s="215"/>
      <c r="O260" s="215"/>
      <c r="P260" s="215"/>
      <c r="Q260" s="215"/>
      <c r="R260" s="215"/>
      <c r="S260" s="215"/>
      <c r="T260" s="215"/>
      <c r="U260" s="215"/>
      <c r="V260" s="215"/>
      <c r="W260" s="215"/>
      <c r="X260" s="215"/>
      <c r="Y260" s="215"/>
      <c r="Z260" s="215"/>
      <c r="AA260" s="215"/>
      <c r="AB260" s="215"/>
      <c r="AC260" s="215"/>
      <c r="AD260" s="215"/>
      <c r="AE260" s="215"/>
      <c r="AF260" s="215"/>
      <c r="AG260" s="215"/>
      <c r="AH260" s="215"/>
      <c r="AI260" s="215"/>
      <c r="AJ260" s="215"/>
      <c r="AK260" s="215"/>
      <c r="AL260" s="215"/>
      <c r="AM260" s="215"/>
      <c r="AN260" s="215"/>
      <c r="AO260" s="215"/>
    </row>
    <row r="261" spans="1:41" ht="13.5">
      <c r="A261" s="210"/>
      <c r="B261" s="186"/>
      <c r="C261" s="186"/>
      <c r="D261" s="186"/>
      <c r="E261" s="186"/>
      <c r="F261" s="186"/>
      <c r="G261" s="186"/>
      <c r="H261" s="186"/>
      <c r="I261" s="186"/>
      <c r="J261" s="186"/>
      <c r="K261" s="186"/>
      <c r="L261" s="186"/>
      <c r="M261" s="186"/>
      <c r="N261" s="186"/>
      <c r="O261" s="186"/>
      <c r="P261" s="186"/>
      <c r="Q261" s="186"/>
      <c r="R261" s="186"/>
      <c r="S261" s="186"/>
      <c r="T261" s="186"/>
      <c r="U261" s="186"/>
      <c r="V261" s="186"/>
      <c r="W261" s="186"/>
      <c r="X261" s="186"/>
      <c r="Y261" s="186"/>
      <c r="Z261" s="186"/>
      <c r="AA261" s="186"/>
      <c r="AB261" s="186"/>
      <c r="AC261" s="186"/>
      <c r="AD261" s="186"/>
      <c r="AE261" s="186"/>
      <c r="AF261" s="186"/>
      <c r="AG261" s="186"/>
      <c r="AH261" s="186"/>
      <c r="AI261" s="186"/>
      <c r="AJ261" s="186"/>
      <c r="AK261" s="186"/>
      <c r="AL261" s="186"/>
      <c r="AM261" s="186"/>
      <c r="AN261" s="186"/>
      <c r="AO261" s="186"/>
    </row>
    <row r="262" spans="1:41" ht="13.5">
      <c r="A262" s="218" t="s">
        <v>392</v>
      </c>
      <c r="B262" s="195" t="e">
        <f>B191+B212+B228+B232+B236+B258+B250+B254</f>
        <v>#REF!</v>
      </c>
      <c r="C262" s="195" t="e">
        <f>C191+C212+C228+C232+C236+C258+C250+C254</f>
        <v>#REF!</v>
      </c>
      <c r="D262" s="195" t="e">
        <f>D191+D212+D228+D232+D236+D258+D250+D254</f>
        <v>#REF!</v>
      </c>
      <c r="E262" s="195" t="e">
        <f>E191+E212+E228+E232+E236+E258+E250+E254</f>
        <v>#REF!</v>
      </c>
      <c r="F262" s="195" t="e">
        <f>F191+F212+F228+F232+F236+F258+F250+F254</f>
        <v>#REF!</v>
      </c>
      <c r="G262" s="195"/>
      <c r="H262" s="195">
        <f>H191+H212+H228+H232+H236+H258+H250+H254</f>
        <v>402186108</v>
      </c>
      <c r="I262" s="195"/>
      <c r="J262" s="195"/>
      <c r="K262" s="195"/>
      <c r="L262" s="195"/>
      <c r="M262" s="195"/>
      <c r="N262" s="195"/>
      <c r="O262" s="195"/>
      <c r="P262" s="195"/>
      <c r="Q262" s="195"/>
      <c r="R262" s="195"/>
      <c r="S262" s="195"/>
      <c r="T262" s="195"/>
      <c r="U262" s="195"/>
      <c r="V262" s="195"/>
      <c r="W262" s="195"/>
      <c r="X262" s="195"/>
      <c r="Y262" s="195"/>
      <c r="Z262" s="195"/>
      <c r="AA262" s="195"/>
      <c r="AB262" s="195"/>
      <c r="AC262" s="195"/>
      <c r="AD262" s="195"/>
      <c r="AE262" s="195"/>
      <c r="AF262" s="195"/>
      <c r="AG262" s="195"/>
      <c r="AH262" s="195"/>
      <c r="AI262" s="195"/>
      <c r="AJ262" s="195"/>
      <c r="AK262" s="195"/>
      <c r="AL262" s="195"/>
      <c r="AM262" s="195"/>
      <c r="AN262" s="195">
        <f>AN191+AN212+AN228+AN232+AN236+AN258+AN250+AN254</f>
        <v>476656600</v>
      </c>
      <c r="AO262" s="195">
        <f>AO191+AO212+AO228+AO232+AO236+AO258+AO250+AO254</f>
        <v>591821100</v>
      </c>
    </row>
    <row r="263" spans="1:41" ht="13.5">
      <c r="A263" s="219"/>
      <c r="B263" s="187"/>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c r="AG263" s="187"/>
      <c r="AH263" s="187"/>
      <c r="AI263" s="187"/>
      <c r="AJ263" s="187"/>
      <c r="AK263" s="187"/>
      <c r="AL263" s="187"/>
      <c r="AM263" s="187"/>
      <c r="AN263" s="187"/>
      <c r="AO263" s="187"/>
    </row>
    <row r="264" spans="1:41" ht="13.5">
      <c r="A264" s="220" t="s">
        <v>378</v>
      </c>
      <c r="B264" s="310" t="e">
        <f>SUM(B265:B268)</f>
        <v>#REF!</v>
      </c>
      <c r="C264" s="310" t="e">
        <f>SUM(C265:C268)</f>
        <v>#REF!</v>
      </c>
      <c r="D264" s="310" t="e">
        <f>SUM(D265:D268)</f>
        <v>#REF!</v>
      </c>
      <c r="E264" s="310" t="e">
        <f>SUM(E265:E268)</f>
        <v>#REF!</v>
      </c>
      <c r="F264" s="310" t="e">
        <f>SUM(F265:F268)</f>
        <v>#REF!</v>
      </c>
      <c r="G264" s="221"/>
      <c r="H264" s="222">
        <f>SUM(H265:H268)</f>
        <v>4000000</v>
      </c>
      <c r="I264" s="222"/>
      <c r="J264" s="222"/>
      <c r="K264" s="222"/>
      <c r="L264" s="222"/>
      <c r="M264" s="222"/>
      <c r="N264" s="222"/>
      <c r="O264" s="222"/>
      <c r="P264" s="222"/>
      <c r="Q264" s="222"/>
      <c r="R264" s="222"/>
      <c r="S264" s="222"/>
      <c r="T264" s="222"/>
      <c r="U264" s="222"/>
      <c r="V264" s="222"/>
      <c r="W264" s="222"/>
      <c r="X264" s="222"/>
      <c r="Y264" s="222"/>
      <c r="Z264" s="222"/>
      <c r="AA264" s="222"/>
      <c r="AB264" s="222"/>
      <c r="AC264" s="222"/>
      <c r="AD264" s="222"/>
      <c r="AE264" s="222"/>
      <c r="AF264" s="222"/>
      <c r="AG264" s="222"/>
      <c r="AH264" s="222"/>
      <c r="AI264" s="222"/>
      <c r="AJ264" s="222"/>
      <c r="AK264" s="222"/>
      <c r="AL264" s="222"/>
      <c r="AM264" s="222"/>
      <c r="AN264" s="222">
        <f>SUM(AN265:AN268)</f>
        <v>4000000</v>
      </c>
      <c r="AO264" s="222">
        <f>SUM(AO265:AO268)</f>
        <v>4000000</v>
      </c>
    </row>
    <row r="265" spans="1:41" ht="13.5">
      <c r="A265" s="200" t="s">
        <v>6</v>
      </c>
      <c r="B265" s="211" t="e">
        <f t="array" ref="B265">SUM(IF('[5]2013-2016 Projects'!$O$4:$O$202="New-350",'[5]2013-2016 Projects'!$V$4:$V$202,0))</f>
        <v>#REF!</v>
      </c>
      <c r="C265" s="211" t="e">
        <f t="array" ref="C265">SUM(IF('[5]2013-2016 Projects'!$O$4:$O$202="New-350",'[5]2013-2016 Projects'!$V$4:$V$202,0))</f>
        <v>#REF!</v>
      </c>
      <c r="D265" s="211" t="e">
        <f t="array" ref="D265">SUM(IF('[5]2013-2016 Projects'!$O$4:$O$202="New-350",'[5]2013-2016 Projects'!$V$4:$V$202,0))</f>
        <v>#REF!</v>
      </c>
      <c r="E265" s="211" t="e">
        <f t="array" ref="E265">SUM(IF('[5]2013-2016 Projects'!$O$4:$O$202="New-350",'[5]2013-2016 Projects'!$V$4:$V$202,0))</f>
        <v>#REF!</v>
      </c>
      <c r="F265" s="211" t="e">
        <f t="array" ref="F265">SUM(IF('[5]2013-2016 Projects'!$O$4:$O$202="New-350",'[5]2013-2016 Projects'!$V$4:$V$202,0))</f>
        <v>#REF!</v>
      </c>
      <c r="G265" s="181"/>
      <c r="H265" s="181">
        <f t="array" ref="H265">SUM(IF('2014-2017 Projects'!$T$5:$T$158="New-350",'2014-2017 Projects'!$AK$5:$AK$158,0))</f>
        <v>0</v>
      </c>
      <c r="I265" s="181"/>
      <c r="J265" s="181"/>
      <c r="K265" s="181"/>
      <c r="L265" s="181"/>
      <c r="M265" s="181"/>
      <c r="N265" s="181"/>
      <c r="O265" s="181"/>
      <c r="P265" s="181"/>
      <c r="Q265" s="181"/>
      <c r="R265" s="181"/>
      <c r="S265" s="181"/>
      <c r="T265" s="181"/>
      <c r="U265" s="181"/>
      <c r="V265" s="181"/>
      <c r="W265" s="181"/>
      <c r="X265" s="181"/>
      <c r="Y265" s="181"/>
      <c r="Z265" s="181"/>
      <c r="AA265" s="181"/>
      <c r="AB265" s="181"/>
      <c r="AC265" s="181"/>
      <c r="AD265" s="181"/>
      <c r="AE265" s="181"/>
      <c r="AF265" s="181"/>
      <c r="AG265" s="181"/>
      <c r="AH265" s="181"/>
      <c r="AI265" s="181"/>
      <c r="AJ265" s="181"/>
      <c r="AK265" s="181"/>
      <c r="AL265" s="181"/>
      <c r="AM265" s="181"/>
      <c r="AN265" s="181">
        <f t="array" ref="AN265">SUM(IF('2014-2017 Projects'!$T$5:$T$158="New-350",'2014-2017 Projects'!$CE$5:$CE$158,0))</f>
        <v>0</v>
      </c>
      <c r="AO265" s="181">
        <f t="array" ref="AO265">SUM(IF('2014-2017 Projects'!$T$5:$T$158="New-350",'2014-2017 Projects'!$CF$5:$CF$158,0))</f>
        <v>0</v>
      </c>
    </row>
    <row r="266" spans="1:41" ht="13.5">
      <c r="A266" s="200" t="s">
        <v>393</v>
      </c>
      <c r="B266" s="211" t="e">
        <f t="array" ref="B266">SUM(IF('[5]2013-2016 Projects'!$O$4:$O$202="New-360",'[5]2013-2016 Projects'!$V$4:$V$202,0))</f>
        <v>#REF!</v>
      </c>
      <c r="C266" s="211" t="e">
        <f t="array" ref="C266">SUM(IF('[5]2013-2016 Projects'!$O$4:$O$202="New-360",'[5]2013-2016 Projects'!$V$4:$V$202,0))</f>
        <v>#REF!</v>
      </c>
      <c r="D266" s="211" t="e">
        <f t="array" ref="D266">SUM(IF('[5]2013-2016 Projects'!$O$4:$O$202="New-360",'[5]2013-2016 Projects'!$V$4:$V$202,0))</f>
        <v>#REF!</v>
      </c>
      <c r="E266" s="211" t="e">
        <f t="array" ref="E266">SUM(IF('[5]2013-2016 Projects'!$O$4:$O$202="New-360",'[5]2013-2016 Projects'!$V$4:$V$202,0))</f>
        <v>#REF!</v>
      </c>
      <c r="F266" s="211" t="e">
        <f t="array" ref="F266">SUM(IF('[5]2013-2016 Projects'!$O$4:$O$202="New-360",'[5]2013-2016 Projects'!$V$4:$V$202,0))</f>
        <v>#REF!</v>
      </c>
      <c r="G266" s="181"/>
      <c r="H266" s="181">
        <f t="array" ref="H266">SUM(IF('2014-2017 Projects'!$T$5:$T$158="New-360",'2014-2017 Projects'!$AK$5:$AK$158,0))</f>
        <v>4000000</v>
      </c>
      <c r="I266" s="181"/>
      <c r="J266" s="181"/>
      <c r="K266" s="181"/>
      <c r="L266" s="181"/>
      <c r="M266" s="181"/>
      <c r="N266" s="181"/>
      <c r="O266" s="181"/>
      <c r="P266" s="181"/>
      <c r="Q266" s="181"/>
      <c r="R266" s="181"/>
      <c r="S266" s="181"/>
      <c r="T266" s="181"/>
      <c r="U266" s="181"/>
      <c r="V266" s="181"/>
      <c r="W266" s="181"/>
      <c r="X266" s="181"/>
      <c r="Y266" s="181"/>
      <c r="Z266" s="181"/>
      <c r="AA266" s="181"/>
      <c r="AB266" s="181"/>
      <c r="AC266" s="181"/>
      <c r="AD266" s="181"/>
      <c r="AE266" s="181"/>
      <c r="AF266" s="181"/>
      <c r="AG266" s="181"/>
      <c r="AH266" s="181"/>
      <c r="AI266" s="181"/>
      <c r="AJ266" s="181"/>
      <c r="AK266" s="181"/>
      <c r="AL266" s="181"/>
      <c r="AM266" s="181"/>
      <c r="AN266" s="181">
        <f t="array" ref="AN266">SUM(IF('2014-2017 Projects'!$T$5:$T$158="New-360",'2014-2017 Projects'!$CE$5:$CE$158,0))</f>
        <v>4000000</v>
      </c>
      <c r="AO266" s="181">
        <f t="array" ref="AO266">SUM(IF('2014-2017 Projects'!$T$5:$T$158="New-360",'2014-2017 Projects'!$CF$5:$CF$158,0))</f>
        <v>4000000</v>
      </c>
    </row>
    <row r="267" spans="1:41" ht="13.5">
      <c r="A267" s="200" t="s">
        <v>394</v>
      </c>
      <c r="B267" s="311"/>
      <c r="C267" s="311"/>
      <c r="D267" s="311"/>
      <c r="E267" s="311"/>
      <c r="F267" s="311"/>
      <c r="G267" s="223"/>
      <c r="H267" s="181">
        <f t="array" ref="H267">SUM(IF('2014-2017 Projects'!$T$5:$T$158="New-390",'2014-2017 Projects'!$AK$5:$AK$158,0))</f>
        <v>0</v>
      </c>
      <c r="I267" s="181"/>
      <c r="J267" s="181"/>
      <c r="K267" s="181"/>
      <c r="L267" s="181"/>
      <c r="M267" s="181"/>
      <c r="N267" s="181"/>
      <c r="O267" s="181"/>
      <c r="P267" s="181"/>
      <c r="Q267" s="181"/>
      <c r="R267" s="181"/>
      <c r="S267" s="181"/>
      <c r="T267" s="181"/>
      <c r="U267" s="181"/>
      <c r="V267" s="181"/>
      <c r="W267" s="181"/>
      <c r="X267" s="181"/>
      <c r="Y267" s="181"/>
      <c r="Z267" s="181"/>
      <c r="AA267" s="181"/>
      <c r="AB267" s="181"/>
      <c r="AC267" s="181"/>
      <c r="AD267" s="181"/>
      <c r="AE267" s="181"/>
      <c r="AF267" s="181"/>
      <c r="AG267" s="181"/>
      <c r="AH267" s="181"/>
      <c r="AI267" s="181"/>
      <c r="AJ267" s="181"/>
      <c r="AK267" s="181"/>
      <c r="AL267" s="181"/>
      <c r="AM267" s="181"/>
      <c r="AN267" s="181">
        <f t="array" ref="AN267">SUM(IF('2014-2017 Projects'!$T$5:$T$158="New-390",'2014-2017 Projects'!$CE$5:$CE$158,0))</f>
        <v>0</v>
      </c>
      <c r="AO267" s="181">
        <f t="array" ref="AO267">SUM(IF('2014-2017 Projects'!$T$5:$T$158="New-390",'2014-2017 Projects'!$CF$5:$CF$158,0))</f>
        <v>0</v>
      </c>
    </row>
    <row r="268" spans="1:41" ht="13.5">
      <c r="A268" s="224" t="s">
        <v>395</v>
      </c>
      <c r="B268" s="312"/>
      <c r="C268" s="312"/>
      <c r="D268" s="312"/>
      <c r="E268" s="312"/>
      <c r="F268" s="312"/>
      <c r="G268" s="225"/>
      <c r="H268" s="226"/>
      <c r="I268" s="226"/>
      <c r="J268" s="226"/>
      <c r="K268" s="226"/>
      <c r="L268" s="226"/>
      <c r="M268" s="226"/>
      <c r="N268" s="226"/>
      <c r="O268" s="226"/>
      <c r="P268" s="226"/>
      <c r="Q268" s="226"/>
      <c r="R268" s="226"/>
      <c r="S268" s="226"/>
      <c r="T268" s="226"/>
      <c r="U268" s="226"/>
      <c r="V268" s="226"/>
      <c r="W268" s="226"/>
      <c r="X268" s="226"/>
      <c r="Y268" s="226"/>
      <c r="Z268" s="226"/>
      <c r="AA268" s="226"/>
      <c r="AB268" s="226"/>
      <c r="AC268" s="226"/>
      <c r="AD268" s="226"/>
      <c r="AE268" s="226"/>
      <c r="AF268" s="226"/>
      <c r="AG268" s="226"/>
      <c r="AH268" s="226"/>
      <c r="AI268" s="226"/>
      <c r="AJ268" s="226"/>
      <c r="AK268" s="226"/>
      <c r="AL268" s="226"/>
      <c r="AM268" s="226"/>
      <c r="AN268" s="226"/>
      <c r="AO268" s="226"/>
    </row>
    <row r="269" spans="1:41">
      <c r="A269" s="135"/>
      <c r="B269" s="227"/>
      <c r="C269" s="227"/>
      <c r="D269" s="227"/>
      <c r="E269" s="227"/>
      <c r="F269" s="227"/>
      <c r="G269" s="227"/>
      <c r="H269" s="227"/>
      <c r="I269" s="227"/>
      <c r="J269" s="227"/>
      <c r="K269" s="227"/>
      <c r="L269" s="227"/>
      <c r="M269" s="227"/>
      <c r="N269" s="227"/>
      <c r="O269" s="227"/>
      <c r="P269" s="227"/>
      <c r="Q269" s="227"/>
      <c r="R269" s="227"/>
      <c r="S269" s="227"/>
      <c r="T269" s="227"/>
      <c r="U269" s="227"/>
      <c r="V269" s="227"/>
      <c r="W269" s="227"/>
      <c r="X269" s="227"/>
      <c r="Y269" s="227"/>
      <c r="Z269" s="227"/>
      <c r="AA269" s="227"/>
      <c r="AB269" s="227"/>
      <c r="AC269" s="227"/>
      <c r="AD269" s="227"/>
      <c r="AE269" s="227"/>
      <c r="AF269" s="227"/>
      <c r="AG269" s="227"/>
      <c r="AH269" s="227"/>
      <c r="AI269" s="227"/>
      <c r="AJ269" s="227"/>
      <c r="AK269" s="227"/>
      <c r="AL269" s="227"/>
      <c r="AM269" s="227"/>
      <c r="AN269" s="227"/>
      <c r="AO269" s="227"/>
    </row>
    <row r="270" spans="1:41">
      <c r="A270" s="135"/>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5"/>
      <c r="AL270" s="135"/>
      <c r="AM270" s="135"/>
      <c r="AN270" s="135"/>
      <c r="AO270" s="135"/>
    </row>
    <row r="271" spans="1:41" ht="22.5">
      <c r="A271" s="201" t="s">
        <v>396</v>
      </c>
      <c r="B271" s="309" t="s">
        <v>318</v>
      </c>
      <c r="C271" s="309" t="s">
        <v>318</v>
      </c>
      <c r="D271" s="309" t="s">
        <v>318</v>
      </c>
      <c r="E271" s="309" t="s">
        <v>318</v>
      </c>
      <c r="F271" s="309" t="s">
        <v>318</v>
      </c>
      <c r="G271" s="173"/>
      <c r="H271" s="174" t="s">
        <v>319</v>
      </c>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c r="AH271" s="174"/>
      <c r="AI271" s="174"/>
      <c r="AJ271" s="174"/>
      <c r="AK271" s="174"/>
      <c r="AL271" s="174"/>
      <c r="AM271" s="174"/>
      <c r="AN271" s="174" t="s">
        <v>319</v>
      </c>
      <c r="AO271" s="174" t="s">
        <v>319</v>
      </c>
    </row>
    <row r="272" spans="1:41" ht="13.5">
      <c r="A272" s="202" t="s">
        <v>397</v>
      </c>
      <c r="B272" s="228"/>
      <c r="C272" s="228"/>
      <c r="D272" s="228"/>
      <c r="E272" s="228"/>
      <c r="F272" s="228"/>
      <c r="G272" s="228"/>
      <c r="H272" s="229"/>
      <c r="I272" s="229"/>
      <c r="J272" s="229"/>
      <c r="K272" s="229"/>
      <c r="L272" s="229"/>
      <c r="M272" s="229"/>
      <c r="N272" s="229"/>
      <c r="O272" s="229"/>
      <c r="P272" s="229"/>
      <c r="Q272" s="229"/>
      <c r="R272" s="229"/>
      <c r="S272" s="229"/>
      <c r="T272" s="229"/>
      <c r="U272" s="229"/>
      <c r="V272" s="229"/>
      <c r="W272" s="229"/>
      <c r="X272" s="229"/>
      <c r="Y272" s="229"/>
      <c r="Z272" s="229"/>
      <c r="AA272" s="229"/>
      <c r="AB272" s="229"/>
      <c r="AC272" s="229"/>
      <c r="AD272" s="229"/>
      <c r="AE272" s="229"/>
      <c r="AF272" s="229"/>
      <c r="AG272" s="229"/>
      <c r="AH272" s="229"/>
      <c r="AI272" s="229"/>
      <c r="AJ272" s="229"/>
      <c r="AK272" s="229"/>
      <c r="AL272" s="229"/>
      <c r="AM272" s="229"/>
      <c r="AN272" s="229"/>
      <c r="AO272" s="229"/>
    </row>
    <row r="273" spans="1:41" ht="13.5">
      <c r="A273" s="205"/>
      <c r="B273" s="230"/>
      <c r="C273" s="230"/>
      <c r="D273" s="230"/>
      <c r="E273" s="230"/>
      <c r="F273" s="230"/>
      <c r="G273" s="230"/>
      <c r="H273" s="230"/>
      <c r="I273" s="230"/>
      <c r="J273" s="230"/>
      <c r="K273" s="230"/>
      <c r="L273" s="230"/>
      <c r="M273" s="230"/>
      <c r="N273" s="230"/>
      <c r="O273" s="230"/>
      <c r="P273" s="230"/>
      <c r="Q273" s="230"/>
      <c r="R273" s="230"/>
      <c r="S273" s="230"/>
      <c r="T273" s="230"/>
      <c r="U273" s="230"/>
      <c r="V273" s="230"/>
      <c r="W273" s="230"/>
      <c r="X273" s="230"/>
      <c r="Y273" s="230"/>
      <c r="Z273" s="230"/>
      <c r="AA273" s="230"/>
      <c r="AB273" s="230"/>
      <c r="AC273" s="230"/>
      <c r="AD273" s="230"/>
      <c r="AE273" s="230"/>
      <c r="AF273" s="230"/>
      <c r="AG273" s="230"/>
      <c r="AH273" s="230"/>
      <c r="AI273" s="230"/>
      <c r="AJ273" s="230"/>
      <c r="AK273" s="230"/>
      <c r="AL273" s="230"/>
      <c r="AM273" s="230"/>
      <c r="AN273" s="230"/>
      <c r="AO273" s="230"/>
    </row>
    <row r="274" spans="1:41" ht="13.5">
      <c r="A274" s="205" t="s">
        <v>0</v>
      </c>
      <c r="B274" s="207" t="e">
        <f>B275+B278+B282+B286+B289</f>
        <v>#REF!</v>
      </c>
      <c r="C274" s="207" t="e">
        <f>C275+C278+C282+C286+C289</f>
        <v>#REF!</v>
      </c>
      <c r="D274" s="207" t="e">
        <f>D275+D278+D282+D286+D289</f>
        <v>#REF!</v>
      </c>
      <c r="E274" s="207" t="e">
        <f>E275+E278+E282+E286+E289</f>
        <v>#REF!</v>
      </c>
      <c r="F274" s="207" t="e">
        <f>F275+F278+F282+F286+F289</f>
        <v>#REF!</v>
      </c>
      <c r="G274" s="207"/>
      <c r="H274" s="207">
        <f>H275+H278+H282+H286+H289</f>
        <v>491395618</v>
      </c>
      <c r="I274" s="207"/>
      <c r="J274" s="207"/>
      <c r="K274" s="207"/>
      <c r="L274" s="207"/>
      <c r="M274" s="207"/>
      <c r="N274" s="207"/>
      <c r="O274" s="207"/>
      <c r="P274" s="207"/>
      <c r="Q274" s="207"/>
      <c r="R274" s="207"/>
      <c r="S274" s="207"/>
      <c r="T274" s="207"/>
      <c r="U274" s="207"/>
      <c r="V274" s="207"/>
      <c r="W274" s="207"/>
      <c r="X274" s="207"/>
      <c r="Y274" s="207"/>
      <c r="Z274" s="207"/>
      <c r="AA274" s="207"/>
      <c r="AB274" s="207"/>
      <c r="AC274" s="207"/>
      <c r="AD274" s="207"/>
      <c r="AE274" s="207"/>
      <c r="AF274" s="207"/>
      <c r="AG274" s="207"/>
      <c r="AH274" s="207"/>
      <c r="AI274" s="207"/>
      <c r="AJ274" s="207"/>
      <c r="AK274" s="207"/>
      <c r="AL274" s="207"/>
      <c r="AM274" s="207"/>
      <c r="AN274" s="207">
        <f>AN275+AN278+AN282+AN286+AN289</f>
        <v>508000000</v>
      </c>
      <c r="AO274" s="207">
        <f>AO275+AO278+AO282+AO286+AO289</f>
        <v>436000000</v>
      </c>
    </row>
    <row r="275" spans="1:41" ht="13.5">
      <c r="A275" s="198" t="s">
        <v>348</v>
      </c>
      <c r="B275" s="208" t="e">
        <f>SUM(B276:B277)</f>
        <v>#REF!</v>
      </c>
      <c r="C275" s="208" t="e">
        <f>SUM(C276:C277)</f>
        <v>#REF!</v>
      </c>
      <c r="D275" s="208" t="e">
        <f>SUM(D276:D277)</f>
        <v>#REF!</v>
      </c>
      <c r="E275" s="208" t="e">
        <f>SUM(E276:E277)</f>
        <v>#REF!</v>
      </c>
      <c r="F275" s="208" t="e">
        <f>SUM(F276:F277)</f>
        <v>#REF!</v>
      </c>
      <c r="G275" s="208"/>
      <c r="H275" s="208">
        <f>SUM(H276:H277)</f>
        <v>88000000</v>
      </c>
      <c r="I275" s="208"/>
      <c r="J275" s="208"/>
      <c r="K275" s="208"/>
      <c r="L275" s="208"/>
      <c r="M275" s="208"/>
      <c r="N275" s="208"/>
      <c r="O275" s="208"/>
      <c r="P275" s="208"/>
      <c r="Q275" s="208"/>
      <c r="R275" s="208"/>
      <c r="S275" s="208"/>
      <c r="T275" s="208"/>
      <c r="U275" s="208"/>
      <c r="V275" s="208"/>
      <c r="W275" s="208"/>
      <c r="X275" s="208"/>
      <c r="Y275" s="208"/>
      <c r="Z275" s="208"/>
      <c r="AA275" s="208"/>
      <c r="AB275" s="208"/>
      <c r="AC275" s="208"/>
      <c r="AD275" s="208"/>
      <c r="AE275" s="208"/>
      <c r="AF275" s="208"/>
      <c r="AG275" s="208"/>
      <c r="AH275" s="208"/>
      <c r="AI275" s="208"/>
      <c r="AJ275" s="208"/>
      <c r="AK275" s="208"/>
      <c r="AL275" s="208"/>
      <c r="AM275" s="208"/>
      <c r="AN275" s="208">
        <f>SUM(AN276:AN277)</f>
        <v>95000000</v>
      </c>
      <c r="AO275" s="208">
        <f>SUM(AO276:AO277)</f>
        <v>100000000</v>
      </c>
    </row>
    <row r="276" spans="1:41" ht="13.5">
      <c r="A276" s="209" t="s">
        <v>349</v>
      </c>
      <c r="B276" s="181" t="e">
        <f t="array" ref="B276">SUM(IF('[5]2013-2016 Projects'!$O$4:$O$202="Renewal-30",'[5]2013-2016 Projects'!$V$4:$V$202,0))</f>
        <v>#REF!</v>
      </c>
      <c r="C276" s="181" t="e">
        <f t="array" ref="C276">SUM(IF('[5]2013-2016 Projects'!$O$4:$O$202="Renewal-30",'[5]2013-2016 Projects'!$V$4:$V$202,0))</f>
        <v>#REF!</v>
      </c>
      <c r="D276" s="181" t="e">
        <f t="array" ref="D276">SUM(IF('[5]2013-2016 Projects'!$O$4:$O$202="Renewal-30",'[5]2013-2016 Projects'!$V$4:$V$202,0))</f>
        <v>#REF!</v>
      </c>
      <c r="E276" s="181" t="e">
        <f t="array" ref="E276">SUM(IF('[5]2013-2016 Projects'!$O$4:$O$202="Renewal-30",'[5]2013-2016 Projects'!$V$4:$V$202,0))</f>
        <v>#REF!</v>
      </c>
      <c r="F276" s="181" t="e">
        <f t="array" ref="F276">SUM(IF('[5]2013-2016 Projects'!$O$4:$O$202="Renewal-30",'[5]2013-2016 Projects'!$V$4:$V$202,0))</f>
        <v>#REF!</v>
      </c>
      <c r="G276" s="181"/>
      <c r="H276" s="181">
        <f t="array" ref="H276">SUM(IF('2014-2017 Projects'!$T$5:$T$158="Renewal-30",'2014-2017 Projects'!$AK$5:$AK$158,0))</f>
        <v>88000000</v>
      </c>
      <c r="I276" s="181"/>
      <c r="J276" s="181"/>
      <c r="K276" s="181"/>
      <c r="L276" s="181"/>
      <c r="M276" s="181"/>
      <c r="N276" s="181"/>
      <c r="O276" s="181"/>
      <c r="P276" s="181"/>
      <c r="Q276" s="181"/>
      <c r="R276" s="181"/>
      <c r="S276" s="181"/>
      <c r="T276" s="181"/>
      <c r="U276" s="181"/>
      <c r="V276" s="181"/>
      <c r="W276" s="181"/>
      <c r="X276" s="181"/>
      <c r="Y276" s="181"/>
      <c r="Z276" s="181"/>
      <c r="AA276" s="181"/>
      <c r="AB276" s="181"/>
      <c r="AC276" s="181"/>
      <c r="AD276" s="181"/>
      <c r="AE276" s="181"/>
      <c r="AF276" s="181"/>
      <c r="AG276" s="181"/>
      <c r="AH276" s="181"/>
      <c r="AI276" s="181"/>
      <c r="AJ276" s="181"/>
      <c r="AK276" s="181"/>
      <c r="AL276" s="181"/>
      <c r="AM276" s="181"/>
      <c r="AN276" s="181">
        <f t="array" ref="AN276">SUM(IF('2014-2017 Projects'!$T$5:$T$158="Renewal-30",'2014-2017 Projects'!$CE$5:$CE$158,0))</f>
        <v>95000000</v>
      </c>
      <c r="AO276" s="181">
        <f t="array" ref="AO276">SUM(IF('2014-2017 Projects'!$T$5:$T$158="Renewal-30",'2014-2017 Projects'!$CF$5:$CF$158,0))</f>
        <v>100000000</v>
      </c>
    </row>
    <row r="277" spans="1:41" ht="13.5">
      <c r="A277" s="209" t="s">
        <v>350</v>
      </c>
      <c r="B277" s="181">
        <v>0</v>
      </c>
      <c r="C277" s="181">
        <v>0</v>
      </c>
      <c r="D277" s="181">
        <v>0</v>
      </c>
      <c r="E277" s="181">
        <v>0</v>
      </c>
      <c r="F277" s="181">
        <v>0</v>
      </c>
      <c r="G277" s="181"/>
      <c r="H277" s="181"/>
      <c r="I277" s="181"/>
      <c r="J277" s="181"/>
      <c r="K277" s="181"/>
      <c r="L277" s="181"/>
      <c r="M277" s="181"/>
      <c r="N277" s="181"/>
      <c r="O277" s="181"/>
      <c r="P277" s="181"/>
      <c r="Q277" s="181"/>
      <c r="R277" s="181"/>
      <c r="S277" s="181"/>
      <c r="T277" s="181"/>
      <c r="U277" s="181"/>
      <c r="V277" s="181"/>
      <c r="W277" s="181"/>
      <c r="X277" s="181"/>
      <c r="Y277" s="181"/>
      <c r="Z277" s="181"/>
      <c r="AA277" s="181"/>
      <c r="AB277" s="181"/>
      <c r="AC277" s="181"/>
      <c r="AD277" s="181"/>
      <c r="AE277" s="181"/>
      <c r="AF277" s="181"/>
      <c r="AG277" s="181"/>
      <c r="AH277" s="181"/>
      <c r="AI277" s="181"/>
      <c r="AJ277" s="181"/>
      <c r="AK277" s="181"/>
      <c r="AL277" s="181"/>
      <c r="AM277" s="181"/>
      <c r="AN277" s="181"/>
      <c r="AO277" s="181"/>
    </row>
    <row r="278" spans="1:41" ht="13.5">
      <c r="A278" s="198" t="s">
        <v>351</v>
      </c>
      <c r="B278" s="199" t="e">
        <f>SUM(B279:B281)</f>
        <v>#REF!</v>
      </c>
      <c r="C278" s="199" t="e">
        <f>SUM(C279:C281)</f>
        <v>#REF!</v>
      </c>
      <c r="D278" s="199" t="e">
        <f>SUM(D279:D281)</f>
        <v>#REF!</v>
      </c>
      <c r="E278" s="199" t="e">
        <f>SUM(E279:E281)</f>
        <v>#REF!</v>
      </c>
      <c r="F278" s="199" t="e">
        <f>SUM(F279:F281)</f>
        <v>#REF!</v>
      </c>
      <c r="G278" s="199"/>
      <c r="H278" s="199">
        <f>SUM(H279:H281)</f>
        <v>89199000</v>
      </c>
      <c r="I278" s="199"/>
      <c r="J278" s="199"/>
      <c r="K278" s="199"/>
      <c r="L278" s="199"/>
      <c r="M278" s="199"/>
      <c r="N278" s="199"/>
      <c r="O278" s="199"/>
      <c r="P278" s="199"/>
      <c r="Q278" s="199"/>
      <c r="R278" s="199"/>
      <c r="S278" s="199"/>
      <c r="T278" s="199"/>
      <c r="U278" s="199"/>
      <c r="V278" s="199"/>
      <c r="W278" s="199"/>
      <c r="X278" s="199"/>
      <c r="Y278" s="199"/>
      <c r="Z278" s="199"/>
      <c r="AA278" s="199"/>
      <c r="AB278" s="199"/>
      <c r="AC278" s="199"/>
      <c r="AD278" s="199"/>
      <c r="AE278" s="199"/>
      <c r="AF278" s="199"/>
      <c r="AG278" s="199"/>
      <c r="AH278" s="199"/>
      <c r="AI278" s="199"/>
      <c r="AJ278" s="199"/>
      <c r="AK278" s="199"/>
      <c r="AL278" s="199"/>
      <c r="AM278" s="199"/>
      <c r="AN278" s="199">
        <f>SUM(AN279:AN281)</f>
        <v>92000000</v>
      </c>
      <c r="AO278" s="199">
        <f>SUM(AO279:AO281)</f>
        <v>108000000</v>
      </c>
    </row>
    <row r="279" spans="1:41" ht="13.5">
      <c r="A279" s="209" t="s">
        <v>352</v>
      </c>
      <c r="B279" s="181">
        <v>0</v>
      </c>
      <c r="C279" s="181">
        <v>0</v>
      </c>
      <c r="D279" s="181">
        <v>0</v>
      </c>
      <c r="E279" s="181">
        <v>0</v>
      </c>
      <c r="F279" s="181">
        <v>0</v>
      </c>
      <c r="G279" s="181"/>
      <c r="H279" s="181"/>
      <c r="I279" s="181"/>
      <c r="J279" s="181"/>
      <c r="K279" s="181"/>
      <c r="L279" s="181"/>
      <c r="M279" s="181"/>
      <c r="N279" s="181"/>
      <c r="O279" s="181"/>
      <c r="P279" s="181"/>
      <c r="Q279" s="181"/>
      <c r="R279" s="181"/>
      <c r="S279" s="181"/>
      <c r="T279" s="181"/>
      <c r="U279" s="181"/>
      <c r="V279" s="181"/>
      <c r="W279" s="181"/>
      <c r="X279" s="181"/>
      <c r="Y279" s="181"/>
      <c r="Z279" s="181"/>
      <c r="AA279" s="181"/>
      <c r="AB279" s="181"/>
      <c r="AC279" s="181"/>
      <c r="AD279" s="181"/>
      <c r="AE279" s="181"/>
      <c r="AF279" s="181"/>
      <c r="AG279" s="181"/>
      <c r="AH279" s="181"/>
      <c r="AI279" s="181"/>
      <c r="AJ279" s="181"/>
      <c r="AK279" s="181"/>
      <c r="AL279" s="181"/>
      <c r="AM279" s="181"/>
      <c r="AN279" s="181"/>
      <c r="AO279" s="181"/>
    </row>
    <row r="280" spans="1:41" ht="13.5">
      <c r="A280" s="209" t="s">
        <v>353</v>
      </c>
      <c r="B280" s="181" t="e">
        <f t="array" ref="B280">SUM(IF('[5]2013-2016 Projects'!$O$4:$O$202="Renewal-60",'[5]2013-2016 Projects'!$V$4:$V$202,0))</f>
        <v>#REF!</v>
      </c>
      <c r="C280" s="181" t="e">
        <f t="array" ref="C280">SUM(IF('[5]2013-2016 Projects'!$O$4:$O$202="Renewal-60",'[5]2013-2016 Projects'!$V$4:$V$202,0))</f>
        <v>#REF!</v>
      </c>
      <c r="D280" s="181" t="e">
        <f t="array" ref="D280">SUM(IF('[5]2013-2016 Projects'!$O$4:$O$202="Renewal-60",'[5]2013-2016 Projects'!$V$4:$V$202,0))</f>
        <v>#REF!</v>
      </c>
      <c r="E280" s="181" t="e">
        <f t="array" ref="E280">SUM(IF('[5]2013-2016 Projects'!$O$4:$O$202="Renewal-60",'[5]2013-2016 Projects'!$V$4:$V$202,0))</f>
        <v>#REF!</v>
      </c>
      <c r="F280" s="181" t="e">
        <f t="array" ref="F280">SUM(IF('[5]2013-2016 Projects'!$O$4:$O$202="Renewal-60",'[5]2013-2016 Projects'!$V$4:$V$202,0))</f>
        <v>#REF!</v>
      </c>
      <c r="G280" s="181"/>
      <c r="H280" s="181">
        <f t="array" ref="H280">SUM(IF('2014-2017 Projects'!$T$5:$T$158="Renewal-60",'2014-2017 Projects'!$AK$5:$AK$158,0))</f>
        <v>89199000</v>
      </c>
      <c r="I280" s="181"/>
      <c r="J280" s="181"/>
      <c r="K280" s="181"/>
      <c r="L280" s="181"/>
      <c r="M280" s="181"/>
      <c r="N280" s="181"/>
      <c r="O280" s="181"/>
      <c r="P280" s="181"/>
      <c r="Q280" s="181"/>
      <c r="R280" s="181"/>
      <c r="S280" s="181"/>
      <c r="T280" s="181"/>
      <c r="U280" s="181"/>
      <c r="V280" s="181"/>
      <c r="W280" s="181"/>
      <c r="X280" s="181"/>
      <c r="Y280" s="181"/>
      <c r="Z280" s="181"/>
      <c r="AA280" s="181"/>
      <c r="AB280" s="181"/>
      <c r="AC280" s="181"/>
      <c r="AD280" s="181"/>
      <c r="AE280" s="181"/>
      <c r="AF280" s="181"/>
      <c r="AG280" s="181"/>
      <c r="AH280" s="181"/>
      <c r="AI280" s="181"/>
      <c r="AJ280" s="181"/>
      <c r="AK280" s="181"/>
      <c r="AL280" s="181"/>
      <c r="AM280" s="181"/>
      <c r="AN280" s="181">
        <f t="array" ref="AN280">SUM(IF('2014-2017 Projects'!$T$5:$T$158="Renewal-60",'2014-2017 Projects'!$CE$5:$CE$158,0))</f>
        <v>92000000</v>
      </c>
      <c r="AO280" s="181">
        <f t="array" ref="AO280">SUM(IF('2014-2017 Projects'!$T$5:$T$158="Renewal-60",'2014-2017 Projects'!$CF$5:$CF$158,0))</f>
        <v>108000000</v>
      </c>
    </row>
    <row r="281" spans="1:41" ht="13.5">
      <c r="A281" s="209" t="s">
        <v>354</v>
      </c>
      <c r="B281" s="181" t="e">
        <f t="array" ref="B281">SUM(IF('[5]2013-2016 Projects'!$O$4:$O$202="Renewal-90",'[5]2013-2016 Projects'!$V$4:$V$202,0))</f>
        <v>#REF!</v>
      </c>
      <c r="C281" s="181" t="e">
        <f t="array" ref="C281">SUM(IF('[5]2013-2016 Projects'!$O$4:$O$202="Renewal-90",'[5]2013-2016 Projects'!$V$4:$V$202,0))</f>
        <v>#REF!</v>
      </c>
      <c r="D281" s="181" t="e">
        <f t="array" ref="D281">SUM(IF('[5]2013-2016 Projects'!$O$4:$O$202="Renewal-90",'[5]2013-2016 Projects'!$V$4:$V$202,0))</f>
        <v>#REF!</v>
      </c>
      <c r="E281" s="181" t="e">
        <f t="array" ref="E281">SUM(IF('[5]2013-2016 Projects'!$O$4:$O$202="Renewal-90",'[5]2013-2016 Projects'!$V$4:$V$202,0))</f>
        <v>#REF!</v>
      </c>
      <c r="F281" s="181" t="e">
        <f t="array" ref="F281">SUM(IF('[5]2013-2016 Projects'!$O$4:$O$202="Renewal-90",'[5]2013-2016 Projects'!$V$4:$V$202,0))</f>
        <v>#REF!</v>
      </c>
      <c r="G281" s="181"/>
      <c r="H281" s="181">
        <f t="array" ref="H281">SUM(IF('2014-2017 Projects'!$T$5:$T$158="New-90",'2014-2017 Projects'!$AK$5:$AK$158,0))</f>
        <v>0</v>
      </c>
      <c r="I281" s="181"/>
      <c r="J281" s="181"/>
      <c r="K281" s="181"/>
      <c r="L281" s="181"/>
      <c r="M281" s="181"/>
      <c r="N281" s="181"/>
      <c r="O281" s="181"/>
      <c r="P281" s="181"/>
      <c r="Q281" s="181"/>
      <c r="R281" s="181"/>
      <c r="S281" s="181"/>
      <c r="T281" s="181"/>
      <c r="U281" s="181"/>
      <c r="V281" s="181"/>
      <c r="W281" s="181"/>
      <c r="X281" s="181"/>
      <c r="Y281" s="181"/>
      <c r="Z281" s="181"/>
      <c r="AA281" s="181"/>
      <c r="AB281" s="181"/>
      <c r="AC281" s="181"/>
      <c r="AD281" s="181"/>
      <c r="AE281" s="181"/>
      <c r="AF281" s="181"/>
      <c r="AG281" s="181"/>
      <c r="AH281" s="181"/>
      <c r="AI281" s="181"/>
      <c r="AJ281" s="181"/>
      <c r="AK281" s="181"/>
      <c r="AL281" s="181"/>
      <c r="AM281" s="181"/>
      <c r="AN281" s="181">
        <f t="array" ref="AN281">SUM(IF('2014-2017 Projects'!$T$5:$T$158="New-90",'2014-2017 Projects'!$CE$5:$CE$158,0))</f>
        <v>0</v>
      </c>
      <c r="AO281" s="181">
        <f t="array" ref="AO281">SUM(IF('2014-2017 Projects'!$T$5:$T$158="New-90",'2014-2017 Projects'!$CF$5:$CF$158,0))</f>
        <v>0</v>
      </c>
    </row>
    <row r="282" spans="1:41" ht="13.5">
      <c r="A282" s="197" t="s">
        <v>355</v>
      </c>
      <c r="B282" s="199" t="e">
        <f>SUM(B283:B285)</f>
        <v>#REF!</v>
      </c>
      <c r="C282" s="199" t="e">
        <f>SUM(C283:C285)</f>
        <v>#REF!</v>
      </c>
      <c r="D282" s="199" t="e">
        <f>SUM(D283:D285)</f>
        <v>#REF!</v>
      </c>
      <c r="E282" s="199" t="e">
        <f>SUM(E283:E285)</f>
        <v>#REF!</v>
      </c>
      <c r="F282" s="199" t="e">
        <f>SUM(F283:F285)</f>
        <v>#REF!</v>
      </c>
      <c r="G282" s="199"/>
      <c r="H282" s="199">
        <f>SUM(H283:H285)</f>
        <v>97688726</v>
      </c>
      <c r="I282" s="199"/>
      <c r="J282" s="199"/>
      <c r="K282" s="199"/>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f>SUM(AN283:AN285)</f>
        <v>91000000</v>
      </c>
      <c r="AO282" s="199">
        <f>SUM(AO283:AO285)</f>
        <v>91000000</v>
      </c>
    </row>
    <row r="283" spans="1:41" ht="13.5">
      <c r="A283" s="209" t="s">
        <v>356</v>
      </c>
      <c r="B283" s="182"/>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c r="AA283" s="182"/>
      <c r="AB283" s="182"/>
      <c r="AC283" s="182"/>
      <c r="AD283" s="182"/>
      <c r="AE283" s="182"/>
      <c r="AF283" s="182"/>
      <c r="AG283" s="182"/>
      <c r="AH283" s="182"/>
      <c r="AI283" s="182"/>
      <c r="AJ283" s="182"/>
      <c r="AK283" s="182"/>
      <c r="AL283" s="182"/>
      <c r="AM283" s="182"/>
      <c r="AN283" s="182"/>
      <c r="AO283" s="182"/>
    </row>
    <row r="284" spans="1:41" ht="13.5">
      <c r="A284" s="209" t="s">
        <v>357</v>
      </c>
      <c r="B284" s="182"/>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c r="AA284" s="182"/>
      <c r="AB284" s="182"/>
      <c r="AC284" s="182"/>
      <c r="AD284" s="182"/>
      <c r="AE284" s="182"/>
      <c r="AF284" s="182"/>
      <c r="AG284" s="182"/>
      <c r="AH284" s="182"/>
      <c r="AI284" s="182"/>
      <c r="AJ284" s="182"/>
      <c r="AK284" s="182"/>
      <c r="AL284" s="182"/>
      <c r="AM284" s="182"/>
      <c r="AN284" s="182"/>
      <c r="AO284" s="182"/>
    </row>
    <row r="285" spans="1:41" ht="13.5">
      <c r="A285" s="209" t="s">
        <v>358</v>
      </c>
      <c r="B285" s="181" t="e">
        <f t="array" ref="B285">SUM(IF('[5]2013-2016 Projects'!$O$4:$O$202="Renewal-40",'[5]2013-2016 Projects'!$V$4:$V$202,0))</f>
        <v>#REF!</v>
      </c>
      <c r="C285" s="181" t="e">
        <f t="array" ref="C285">SUM(IF('[5]2013-2016 Projects'!$O$4:$O$202="Renewal-40",'[5]2013-2016 Projects'!$V$4:$V$202,0))</f>
        <v>#REF!</v>
      </c>
      <c r="D285" s="181" t="e">
        <f t="array" ref="D285">SUM(IF('[5]2013-2016 Projects'!$O$4:$O$202="Renewal-40",'[5]2013-2016 Projects'!$V$4:$V$202,0))</f>
        <v>#REF!</v>
      </c>
      <c r="E285" s="181" t="e">
        <f t="array" ref="E285">SUM(IF('[5]2013-2016 Projects'!$O$4:$O$202="Renewal-40",'[5]2013-2016 Projects'!$V$4:$V$202,0))</f>
        <v>#REF!</v>
      </c>
      <c r="F285" s="181" t="e">
        <f t="array" ref="F285">SUM(IF('[5]2013-2016 Projects'!$O$4:$O$202="Renewal-40",'[5]2013-2016 Projects'!$V$4:$V$202,0))</f>
        <v>#REF!</v>
      </c>
      <c r="G285" s="181"/>
      <c r="H285" s="181">
        <f t="array" ref="H285">SUM(IF('2014-2017 Projects'!$T$5:$T$158="Renewal-40",'2014-2017 Projects'!$AK$5:$AK$158,0))</f>
        <v>97688726</v>
      </c>
      <c r="I285" s="181"/>
      <c r="J285" s="181"/>
      <c r="K285" s="181"/>
      <c r="L285" s="181"/>
      <c r="M285" s="181"/>
      <c r="N285" s="181"/>
      <c r="O285" s="181"/>
      <c r="P285" s="181"/>
      <c r="Q285" s="181"/>
      <c r="R285" s="181"/>
      <c r="S285" s="181"/>
      <c r="T285" s="181"/>
      <c r="U285" s="181"/>
      <c r="V285" s="181"/>
      <c r="W285" s="181"/>
      <c r="X285" s="181"/>
      <c r="Y285" s="181"/>
      <c r="Z285" s="181"/>
      <c r="AA285" s="181"/>
      <c r="AB285" s="181"/>
      <c r="AC285" s="181"/>
      <c r="AD285" s="181"/>
      <c r="AE285" s="181"/>
      <c r="AF285" s="181"/>
      <c r="AG285" s="181"/>
      <c r="AH285" s="181"/>
      <c r="AI285" s="181"/>
      <c r="AJ285" s="181"/>
      <c r="AK285" s="181"/>
      <c r="AL285" s="181"/>
      <c r="AM285" s="181"/>
      <c r="AN285" s="181">
        <f t="array" ref="AN285">SUM(IF('2014-2017 Projects'!$T$5:$T$158="Renewal-40",'2014-2017 Projects'!$CE$5:$CE$158,0))</f>
        <v>91000000</v>
      </c>
      <c r="AO285" s="181">
        <f t="array" ref="AO285">SUM(IF('2014-2017 Projects'!$T$5:$T$158="Renewal-40",'2014-2017 Projects'!$CF$5:$CF$158,0))</f>
        <v>91000000</v>
      </c>
    </row>
    <row r="286" spans="1:41" ht="13.5">
      <c r="A286" s="197" t="s">
        <v>359</v>
      </c>
      <c r="B286" s="199" t="e">
        <f>SUM(B287:B288)</f>
        <v>#REF!</v>
      </c>
      <c r="C286" s="199" t="e">
        <f>SUM(C287:C288)</f>
        <v>#REF!</v>
      </c>
      <c r="D286" s="199" t="e">
        <f>SUM(D287:D288)</f>
        <v>#REF!</v>
      </c>
      <c r="E286" s="199" t="e">
        <f>SUM(E287:E288)</f>
        <v>#REF!</v>
      </c>
      <c r="F286" s="199" t="e">
        <f>SUM(F287:F288)</f>
        <v>#REF!</v>
      </c>
      <c r="G286" s="199"/>
      <c r="H286" s="199">
        <f>SUM(H287:H288)</f>
        <v>216507892</v>
      </c>
      <c r="I286" s="199"/>
      <c r="J286" s="199"/>
      <c r="K286" s="199"/>
      <c r="L286" s="199"/>
      <c r="M286" s="199"/>
      <c r="N286" s="199"/>
      <c r="O286" s="199"/>
      <c r="P286" s="199"/>
      <c r="Q286" s="199"/>
      <c r="R286" s="199"/>
      <c r="S286" s="199"/>
      <c r="T286" s="199"/>
      <c r="U286" s="199"/>
      <c r="V286" s="199"/>
      <c r="W286" s="199"/>
      <c r="X286" s="199"/>
      <c r="Y286" s="199"/>
      <c r="Z286" s="199"/>
      <c r="AA286" s="199"/>
      <c r="AB286" s="199"/>
      <c r="AC286" s="199"/>
      <c r="AD286" s="199"/>
      <c r="AE286" s="199"/>
      <c r="AF286" s="199"/>
      <c r="AG286" s="199"/>
      <c r="AH286" s="199"/>
      <c r="AI286" s="199"/>
      <c r="AJ286" s="199"/>
      <c r="AK286" s="199"/>
      <c r="AL286" s="199"/>
      <c r="AM286" s="199"/>
      <c r="AN286" s="199">
        <f>SUM(AN287:AN288)</f>
        <v>230000000</v>
      </c>
      <c r="AO286" s="199">
        <f>SUM(AO287:AO288)</f>
        <v>137000000</v>
      </c>
    </row>
    <row r="287" spans="1:41" ht="13.5">
      <c r="A287" s="209" t="s">
        <v>358</v>
      </c>
      <c r="B287" s="181" t="e">
        <f t="array" ref="B287">SUM(IF('[5]2013-2016 Projects'!$O$4:$O$202="Renewal-70",'[5]2013-2016 Projects'!$V$4:$V$202,0))</f>
        <v>#REF!</v>
      </c>
      <c r="C287" s="181" t="e">
        <f t="array" ref="C287">SUM(IF('[5]2013-2016 Projects'!$O$4:$O$202="Renewal-70",'[5]2013-2016 Projects'!$V$4:$V$202,0))</f>
        <v>#REF!</v>
      </c>
      <c r="D287" s="181" t="e">
        <f t="array" ref="D287">SUM(IF('[5]2013-2016 Projects'!$O$4:$O$202="Renewal-70",'[5]2013-2016 Projects'!$V$4:$V$202,0))</f>
        <v>#REF!</v>
      </c>
      <c r="E287" s="181" t="e">
        <f t="array" ref="E287">SUM(IF('[5]2013-2016 Projects'!$O$4:$O$202="Renewal-70",'[5]2013-2016 Projects'!$V$4:$V$202,0))</f>
        <v>#REF!</v>
      </c>
      <c r="F287" s="181" t="e">
        <f t="array" ref="F287">SUM(IF('[5]2013-2016 Projects'!$O$4:$O$202="Renewal-70",'[5]2013-2016 Projects'!$V$4:$V$202,0))</f>
        <v>#REF!</v>
      </c>
      <c r="G287" s="181"/>
      <c r="H287" s="181">
        <f t="array" ref="H287">SUM(IF('2014-2017 Projects'!$T$5:$T$158="Renewal-70",'2014-2017 Projects'!$AK$5:$AK$158,0))</f>
        <v>216507892</v>
      </c>
      <c r="I287" s="181"/>
      <c r="J287" s="181"/>
      <c r="K287" s="181"/>
      <c r="L287" s="181"/>
      <c r="M287" s="181"/>
      <c r="N287" s="181"/>
      <c r="O287" s="181"/>
      <c r="P287" s="181"/>
      <c r="Q287" s="181"/>
      <c r="R287" s="181"/>
      <c r="S287" s="181"/>
      <c r="T287" s="181"/>
      <c r="U287" s="181"/>
      <c r="V287" s="181"/>
      <c r="W287" s="181"/>
      <c r="X287" s="181"/>
      <c r="Y287" s="181"/>
      <c r="Z287" s="181"/>
      <c r="AA287" s="181"/>
      <c r="AB287" s="181"/>
      <c r="AC287" s="181"/>
      <c r="AD287" s="181"/>
      <c r="AE287" s="181"/>
      <c r="AF287" s="181"/>
      <c r="AG287" s="181"/>
      <c r="AH287" s="181"/>
      <c r="AI287" s="181"/>
      <c r="AJ287" s="181"/>
      <c r="AK287" s="181"/>
      <c r="AL287" s="181"/>
      <c r="AM287" s="181"/>
      <c r="AN287" s="181">
        <f t="array" ref="AN287">SUM(IF('2014-2017 Projects'!$T$5:$T$158="Renewal-70",'2014-2017 Projects'!$CE$5:$CE$158,0))</f>
        <v>230000000</v>
      </c>
      <c r="AO287" s="181">
        <f t="array" ref="AO287">SUM(IF('2014-2017 Projects'!$T$5:$T$158="Renewal-70",'2014-2017 Projects'!$CF$5:$CF$158,0))</f>
        <v>137000000</v>
      </c>
    </row>
    <row r="288" spans="1:41" ht="13.5">
      <c r="A288" s="209" t="s">
        <v>360</v>
      </c>
      <c r="B288" s="182"/>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182"/>
      <c r="AG288" s="182"/>
      <c r="AH288" s="182"/>
      <c r="AI288" s="182"/>
      <c r="AJ288" s="182"/>
      <c r="AK288" s="182"/>
      <c r="AL288" s="182"/>
      <c r="AM288" s="182"/>
      <c r="AN288" s="182"/>
      <c r="AO288" s="182"/>
    </row>
    <row r="289" spans="1:41" ht="13.5">
      <c r="A289" s="198" t="s">
        <v>361</v>
      </c>
      <c r="B289" s="199" t="e">
        <f>SUM(B290:B293)</f>
        <v>#REF!</v>
      </c>
      <c r="C289" s="199" t="e">
        <f>SUM(C290:C293)</f>
        <v>#REF!</v>
      </c>
      <c r="D289" s="199" t="e">
        <f>SUM(D290:D293)</f>
        <v>#REF!</v>
      </c>
      <c r="E289" s="199" t="e">
        <f>SUM(E290:E293)</f>
        <v>#REF!</v>
      </c>
      <c r="F289" s="199" t="e">
        <f>SUM(F290:F293)</f>
        <v>#REF!</v>
      </c>
      <c r="G289" s="199"/>
      <c r="H289" s="199">
        <f>SUM(H290:H293)</f>
        <v>0</v>
      </c>
      <c r="I289" s="199"/>
      <c r="J289" s="199"/>
      <c r="K289" s="199"/>
      <c r="L289" s="199"/>
      <c r="M289" s="199"/>
      <c r="N289" s="199"/>
      <c r="O289" s="199"/>
      <c r="P289" s="199"/>
      <c r="Q289" s="199"/>
      <c r="R289" s="199"/>
      <c r="S289" s="199"/>
      <c r="T289" s="199"/>
      <c r="U289" s="199"/>
      <c r="V289" s="199"/>
      <c r="W289" s="199"/>
      <c r="X289" s="199"/>
      <c r="Y289" s="199"/>
      <c r="Z289" s="199"/>
      <c r="AA289" s="199"/>
      <c r="AB289" s="199"/>
      <c r="AC289" s="199"/>
      <c r="AD289" s="199"/>
      <c r="AE289" s="199"/>
      <c r="AF289" s="199"/>
      <c r="AG289" s="199"/>
      <c r="AH289" s="199"/>
      <c r="AI289" s="199"/>
      <c r="AJ289" s="199"/>
      <c r="AK289" s="199"/>
      <c r="AL289" s="199"/>
      <c r="AM289" s="199"/>
      <c r="AN289" s="199">
        <f>SUM(AN290:AN293)</f>
        <v>0</v>
      </c>
      <c r="AO289" s="199">
        <f>SUM(AO290:AO293)</f>
        <v>0</v>
      </c>
    </row>
    <row r="290" spans="1:41" ht="13.5">
      <c r="A290" s="209" t="s">
        <v>1</v>
      </c>
      <c r="B290" s="181" t="e">
        <f t="array" ref="B290">SUM(IF('[5]2013-2016 Projects'!$O$4:$O$202="Renewal-100",'[5]2013-2016 Projects'!$V$4:$V$202,0))</f>
        <v>#REF!</v>
      </c>
      <c r="C290" s="181" t="e">
        <f t="array" ref="C290">SUM(IF('[5]2013-2016 Projects'!$O$4:$O$202="Renewal-100",'[5]2013-2016 Projects'!$V$4:$V$202,0))</f>
        <v>#REF!</v>
      </c>
      <c r="D290" s="181" t="e">
        <f t="array" ref="D290">SUM(IF('[5]2013-2016 Projects'!$O$4:$O$202="Renewal-100",'[5]2013-2016 Projects'!$V$4:$V$202,0))</f>
        <v>#REF!</v>
      </c>
      <c r="E290" s="181" t="e">
        <f t="array" ref="E290">SUM(IF('[5]2013-2016 Projects'!$O$4:$O$202="Renewal-100",'[5]2013-2016 Projects'!$V$4:$V$202,0))</f>
        <v>#REF!</v>
      </c>
      <c r="F290" s="181" t="e">
        <f t="array" ref="F290">SUM(IF('[5]2013-2016 Projects'!$O$4:$O$202="Renewal-100",'[5]2013-2016 Projects'!$V$4:$V$202,0))</f>
        <v>#REF!</v>
      </c>
      <c r="G290" s="181"/>
      <c r="H290" s="181">
        <f t="array" ref="H290">SUM(IF('2014-2017 Projects'!$T$5:$T$158="Renewal-100",'2014-2017 Projects'!$AK$5:$AK$158,0))</f>
        <v>0</v>
      </c>
      <c r="I290" s="181"/>
      <c r="J290" s="181"/>
      <c r="K290" s="181"/>
      <c r="L290" s="181"/>
      <c r="M290" s="181"/>
      <c r="N290" s="181"/>
      <c r="O290" s="181"/>
      <c r="P290" s="181"/>
      <c r="Q290" s="181"/>
      <c r="R290" s="181"/>
      <c r="S290" s="181"/>
      <c r="T290" s="181"/>
      <c r="U290" s="181"/>
      <c r="V290" s="181"/>
      <c r="W290" s="181"/>
      <c r="X290" s="181"/>
      <c r="Y290" s="181"/>
      <c r="Z290" s="181"/>
      <c r="AA290" s="181"/>
      <c r="AB290" s="181"/>
      <c r="AC290" s="181"/>
      <c r="AD290" s="181"/>
      <c r="AE290" s="181"/>
      <c r="AF290" s="181"/>
      <c r="AG290" s="181"/>
      <c r="AH290" s="181"/>
      <c r="AI290" s="181"/>
      <c r="AJ290" s="181"/>
      <c r="AK290" s="181"/>
      <c r="AL290" s="181"/>
      <c r="AM290" s="181"/>
      <c r="AN290" s="181">
        <f t="array" ref="AN290">SUM(IF('2014-2017 Projects'!$T$5:$T$158="Renewal-100",'2014-2017 Projects'!$CE$5:$CE$158,0))</f>
        <v>0</v>
      </c>
      <c r="AO290" s="181">
        <f t="array" ref="AO290">SUM(IF('2014-2017 Projects'!$T$5:$T$158="Renewal-100",'2014-2017 Projects'!$CF$5:$CF$158,0))</f>
        <v>0</v>
      </c>
    </row>
    <row r="291" spans="1:41" ht="13.5">
      <c r="A291" s="209" t="s">
        <v>362</v>
      </c>
      <c r="B291" s="181" t="e">
        <f t="array" ref="B291">SUM(IF('[5]2013-2016 Projects'!$O$4:$O$202="Renewal-50",'[5]2013-2016 Projects'!$V$4:$V$202,0))</f>
        <v>#REF!</v>
      </c>
      <c r="C291" s="181" t="e">
        <f t="array" ref="C291">SUM(IF('[5]2013-2016 Projects'!$O$4:$O$202="Renewal-50",'[5]2013-2016 Projects'!$V$4:$V$202,0))</f>
        <v>#REF!</v>
      </c>
      <c r="D291" s="181" t="e">
        <f t="array" ref="D291">SUM(IF('[5]2013-2016 Projects'!$O$4:$O$202="Renewal-50",'[5]2013-2016 Projects'!$V$4:$V$202,0))</f>
        <v>#REF!</v>
      </c>
      <c r="E291" s="181" t="e">
        <f t="array" ref="E291">SUM(IF('[5]2013-2016 Projects'!$O$4:$O$202="Renewal-50",'[5]2013-2016 Projects'!$V$4:$V$202,0))</f>
        <v>#REF!</v>
      </c>
      <c r="F291" s="181" t="e">
        <f t="array" ref="F291">SUM(IF('[5]2013-2016 Projects'!$O$4:$O$202="Renewal-50",'[5]2013-2016 Projects'!$V$4:$V$202,0))</f>
        <v>#REF!</v>
      </c>
      <c r="G291" s="181"/>
      <c r="H291" s="181">
        <f t="array" ref="H291">SUM(IF('2014-2017 Projects'!$T$5:$T$158="Renewal-50",'2014-2017 Projects'!$AK$5:$AK$158,0))</f>
        <v>0</v>
      </c>
      <c r="I291" s="181"/>
      <c r="J291" s="181"/>
      <c r="K291" s="181"/>
      <c r="L291" s="181"/>
      <c r="M291" s="181"/>
      <c r="N291" s="181"/>
      <c r="O291" s="181"/>
      <c r="P291" s="181"/>
      <c r="Q291" s="181"/>
      <c r="R291" s="181"/>
      <c r="S291" s="181"/>
      <c r="T291" s="181"/>
      <c r="U291" s="181"/>
      <c r="V291" s="181"/>
      <c r="W291" s="181"/>
      <c r="X291" s="181"/>
      <c r="Y291" s="181"/>
      <c r="Z291" s="181"/>
      <c r="AA291" s="181"/>
      <c r="AB291" s="181"/>
      <c r="AC291" s="181"/>
      <c r="AD291" s="181"/>
      <c r="AE291" s="181"/>
      <c r="AF291" s="181"/>
      <c r="AG291" s="181"/>
      <c r="AH291" s="181"/>
      <c r="AI291" s="181"/>
      <c r="AJ291" s="181"/>
      <c r="AK291" s="181"/>
      <c r="AL291" s="181"/>
      <c r="AM291" s="181"/>
      <c r="AN291" s="181">
        <f t="array" ref="AN291">SUM(IF('2014-2017 Projects'!$T$5:$T$158="Renewal-50",'2014-2017 Projects'!$CE$5:$CE$158,0))</f>
        <v>0</v>
      </c>
      <c r="AO291" s="181">
        <f t="array" ref="AO291">SUM(IF('2014-2017 Projects'!$T$5:$T$158="Renewal-50",'2014-2017 Projects'!$CF$5:$CF$158,0))</f>
        <v>0</v>
      </c>
    </row>
    <row r="292" spans="1:41" ht="13.5">
      <c r="A292" s="209" t="s">
        <v>363</v>
      </c>
      <c r="B292" s="182"/>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c r="AA292" s="182"/>
      <c r="AB292" s="182"/>
      <c r="AC292" s="182"/>
      <c r="AD292" s="182"/>
      <c r="AE292" s="182"/>
      <c r="AF292" s="182"/>
      <c r="AG292" s="182"/>
      <c r="AH292" s="182"/>
      <c r="AI292" s="182"/>
      <c r="AJ292" s="182"/>
      <c r="AK292" s="182"/>
      <c r="AL292" s="182"/>
      <c r="AM292" s="182"/>
      <c r="AN292" s="182"/>
      <c r="AO292" s="182"/>
    </row>
    <row r="293" spans="1:41" ht="13.5">
      <c r="A293" s="209" t="s">
        <v>36</v>
      </c>
      <c r="B293" s="181" t="e">
        <f t="array" ref="B293">SUM(IF('[5]2013-2016 Projects'!$O$4:$O$202="Renewal-120",'[5]2013-2016 Projects'!$V$4:$V$202,0))</f>
        <v>#REF!</v>
      </c>
      <c r="C293" s="181" t="e">
        <f t="array" ref="C293">SUM(IF('[5]2013-2016 Projects'!$O$4:$O$202="Renewal-120",'[5]2013-2016 Projects'!$V$4:$V$202,0))</f>
        <v>#REF!</v>
      </c>
      <c r="D293" s="181" t="e">
        <f t="array" ref="D293">SUM(IF('[5]2013-2016 Projects'!$O$4:$O$202="Renewal-120",'[5]2013-2016 Projects'!$V$4:$V$202,0))</f>
        <v>#REF!</v>
      </c>
      <c r="E293" s="181" t="e">
        <f t="array" ref="E293">SUM(IF('[5]2013-2016 Projects'!$O$4:$O$202="Renewal-120",'[5]2013-2016 Projects'!$V$4:$V$202,0))</f>
        <v>#REF!</v>
      </c>
      <c r="F293" s="181" t="e">
        <f t="array" ref="F293">SUM(IF('[5]2013-2016 Projects'!$O$4:$O$202="Renewal-120",'[5]2013-2016 Projects'!$V$4:$V$202,0))</f>
        <v>#REF!</v>
      </c>
      <c r="G293" s="181"/>
      <c r="H293" s="181">
        <f t="array" ref="H293">SUM(IF('2014-2017 Projects'!$T$5:$T$158="Renewal-120",'2014-2017 Projects'!$AK$5:$AK$158,0))</f>
        <v>0</v>
      </c>
      <c r="I293" s="181"/>
      <c r="J293" s="181"/>
      <c r="K293" s="181"/>
      <c r="L293" s="181"/>
      <c r="M293" s="181"/>
      <c r="N293" s="181"/>
      <c r="O293" s="181"/>
      <c r="P293" s="181"/>
      <c r="Q293" s="181"/>
      <c r="R293" s="181"/>
      <c r="S293" s="181"/>
      <c r="T293" s="181"/>
      <c r="U293" s="181"/>
      <c r="V293" s="181"/>
      <c r="W293" s="181"/>
      <c r="X293" s="181"/>
      <c r="Y293" s="181"/>
      <c r="Z293" s="181"/>
      <c r="AA293" s="181"/>
      <c r="AB293" s="181"/>
      <c r="AC293" s="181"/>
      <c r="AD293" s="181"/>
      <c r="AE293" s="181"/>
      <c r="AF293" s="181"/>
      <c r="AG293" s="181"/>
      <c r="AH293" s="181"/>
      <c r="AI293" s="181"/>
      <c r="AJ293" s="181"/>
      <c r="AK293" s="181"/>
      <c r="AL293" s="181"/>
      <c r="AM293" s="181"/>
      <c r="AN293" s="181">
        <f t="array" ref="AN293">SUM(IF('2014-2017 Projects'!$T$5:$T$158="Renewal-120",'2014-2017 Projects'!$CE$5:$CE$158,0))</f>
        <v>0</v>
      </c>
      <c r="AO293" s="181">
        <f t="array" ref="AO293">SUM(IF('2014-2017 Projects'!$T$5:$T$158="Renewal-120",'2014-2017 Projects'!$CF$5:$CF$158,0))</f>
        <v>0</v>
      </c>
    </row>
    <row r="294" spans="1:41" ht="13.5">
      <c r="A294" s="210"/>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c r="AA294" s="177"/>
      <c r="AB294" s="177"/>
      <c r="AC294" s="177"/>
      <c r="AD294" s="177"/>
      <c r="AE294" s="177"/>
      <c r="AF294" s="177"/>
      <c r="AG294" s="177"/>
      <c r="AH294" s="177"/>
      <c r="AI294" s="177"/>
      <c r="AJ294" s="177"/>
      <c r="AK294" s="177"/>
      <c r="AL294" s="177"/>
      <c r="AM294" s="177"/>
      <c r="AN294" s="177"/>
      <c r="AO294" s="177"/>
    </row>
    <row r="295" spans="1:41" ht="13.5">
      <c r="A295" s="205" t="s">
        <v>2</v>
      </c>
      <c r="B295" s="186" t="e">
        <f>SUM(B296:B309)</f>
        <v>#REF!</v>
      </c>
      <c r="C295" s="186" t="e">
        <f>SUM(C296:C309)</f>
        <v>#REF!</v>
      </c>
      <c r="D295" s="186" t="e">
        <f>SUM(D296:D309)</f>
        <v>#REF!</v>
      </c>
      <c r="E295" s="186" t="e">
        <f>SUM(E296:E309)</f>
        <v>#REF!</v>
      </c>
      <c r="F295" s="186" t="e">
        <f>SUM(F296:F309)</f>
        <v>#REF!</v>
      </c>
      <c r="G295" s="186"/>
      <c r="H295" s="186">
        <f>SUM(H296:H309)</f>
        <v>28030409</v>
      </c>
      <c r="I295" s="186"/>
      <c r="J295" s="186"/>
      <c r="K295" s="186"/>
      <c r="L295" s="186"/>
      <c r="M295" s="186"/>
      <c r="N295" s="186"/>
      <c r="O295" s="186"/>
      <c r="P295" s="186"/>
      <c r="Q295" s="186"/>
      <c r="R295" s="186"/>
      <c r="S295" s="186"/>
      <c r="T295" s="186"/>
      <c r="U295" s="186"/>
      <c r="V295" s="186"/>
      <c r="W295" s="186"/>
      <c r="X295" s="186"/>
      <c r="Y295" s="186"/>
      <c r="Z295" s="186"/>
      <c r="AA295" s="186"/>
      <c r="AB295" s="186"/>
      <c r="AC295" s="186"/>
      <c r="AD295" s="186"/>
      <c r="AE295" s="186"/>
      <c r="AF295" s="186"/>
      <c r="AG295" s="186"/>
      <c r="AH295" s="186"/>
      <c r="AI295" s="186"/>
      <c r="AJ295" s="186"/>
      <c r="AK295" s="186"/>
      <c r="AL295" s="186"/>
      <c r="AM295" s="186"/>
      <c r="AN295" s="186">
        <f>SUM(AN296:AN309)</f>
        <v>21750000</v>
      </c>
      <c r="AO295" s="186">
        <f>SUM(AO296:AO309)</f>
        <v>19750000</v>
      </c>
    </row>
    <row r="296" spans="1:41" ht="13.5">
      <c r="A296" s="198" t="s">
        <v>364</v>
      </c>
      <c r="B296" s="181" t="e">
        <f t="array" ref="B296">SUM(IF('[5]2013-2016 Projects'!$O$4:$O$202="Renewal-150",'[5]2013-2016 Projects'!$V$4:$V$202,0))</f>
        <v>#REF!</v>
      </c>
      <c r="C296" s="181" t="e">
        <f t="array" ref="C296">SUM(IF('[5]2013-2016 Projects'!$O$4:$O$202="Renewal-150",'[5]2013-2016 Projects'!$V$4:$V$202,0))</f>
        <v>#REF!</v>
      </c>
      <c r="D296" s="181" t="e">
        <f t="array" ref="D296">SUM(IF('[5]2013-2016 Projects'!$O$4:$O$202="Renewal-150",'[5]2013-2016 Projects'!$V$4:$V$202,0))</f>
        <v>#REF!</v>
      </c>
      <c r="E296" s="181" t="e">
        <f t="array" ref="E296">SUM(IF('[5]2013-2016 Projects'!$O$4:$O$202="Renewal-150",'[5]2013-2016 Projects'!$V$4:$V$202,0))</f>
        <v>#REF!</v>
      </c>
      <c r="F296" s="181" t="e">
        <f t="array" ref="F296">SUM(IF('[5]2013-2016 Projects'!$O$4:$O$202="Renewal-150",'[5]2013-2016 Projects'!$V$4:$V$202,0))</f>
        <v>#REF!</v>
      </c>
      <c r="G296" s="181"/>
      <c r="H296" s="181">
        <f t="array" ref="H296">SUM(IF('2014-2017 Projects'!$T$5:$T$158="Renewal-150",'2014-2017 Projects'!$AK$5:$AK$158,0))</f>
        <v>0</v>
      </c>
      <c r="I296" s="181"/>
      <c r="J296" s="181"/>
      <c r="K296" s="181"/>
      <c r="L296" s="181"/>
      <c r="M296" s="181"/>
      <c r="N296" s="181"/>
      <c r="O296" s="181"/>
      <c r="P296" s="181"/>
      <c r="Q296" s="181"/>
      <c r="R296" s="181"/>
      <c r="S296" s="181"/>
      <c r="T296" s="181"/>
      <c r="U296" s="181"/>
      <c r="V296" s="181"/>
      <c r="W296" s="181"/>
      <c r="X296" s="181"/>
      <c r="Y296" s="181"/>
      <c r="Z296" s="181"/>
      <c r="AA296" s="181"/>
      <c r="AB296" s="181"/>
      <c r="AC296" s="181"/>
      <c r="AD296" s="181"/>
      <c r="AE296" s="181"/>
      <c r="AF296" s="181"/>
      <c r="AG296" s="181"/>
      <c r="AH296" s="181"/>
      <c r="AI296" s="181"/>
      <c r="AJ296" s="181"/>
      <c r="AK296" s="181"/>
      <c r="AL296" s="181"/>
      <c r="AM296" s="181"/>
      <c r="AN296" s="181">
        <f t="array" ref="AN296">SUM(IF('2014-2017 Projects'!$T$5:$T$158="Renewal-150",'2014-2017 Projects'!$CE$5:$CE$158,0))</f>
        <v>0</v>
      </c>
      <c r="AO296" s="181">
        <f t="array" ref="AO296">SUM(IF('2014-2017 Projects'!$T$5:$T$158="Renewal-150",'2014-2017 Projects'!$CF$5:$CF$158,0))</f>
        <v>0</v>
      </c>
    </row>
    <row r="297" spans="1:41" ht="13.5">
      <c r="A297" s="198" t="s">
        <v>365</v>
      </c>
      <c r="B297" s="181" t="e">
        <f t="array" ref="B297">SUM(IF('[5]2013-2016 Projects'!$O$4:$O$202="Renewal-160",'[5]2013-2016 Projects'!$V$4:$V$202,0))</f>
        <v>#REF!</v>
      </c>
      <c r="C297" s="181" t="e">
        <f t="array" ref="C297">SUM(IF('[5]2013-2016 Projects'!$O$4:$O$202="Renewal-160",'[5]2013-2016 Projects'!$V$4:$V$202,0))</f>
        <v>#REF!</v>
      </c>
      <c r="D297" s="181" t="e">
        <f t="array" ref="D297">SUM(IF('[5]2013-2016 Projects'!$O$4:$O$202="Renewal-160",'[5]2013-2016 Projects'!$V$4:$V$202,0))</f>
        <v>#REF!</v>
      </c>
      <c r="E297" s="181" t="e">
        <f t="array" ref="E297">SUM(IF('[5]2013-2016 Projects'!$O$4:$O$202="Renewal-160",'[5]2013-2016 Projects'!$V$4:$V$202,0))</f>
        <v>#REF!</v>
      </c>
      <c r="F297" s="181" t="e">
        <f t="array" ref="F297">SUM(IF('[5]2013-2016 Projects'!$O$4:$O$202="Renewal-160",'[5]2013-2016 Projects'!$V$4:$V$202,0))</f>
        <v>#REF!</v>
      </c>
      <c r="G297" s="181"/>
      <c r="H297" s="181">
        <f t="array" ref="H297">SUM(IF('2014-2017 Projects'!$T$5:$T$158="Renewal-160",'2014-2017 Projects'!$AK$5:$AK$158,0))</f>
        <v>24791907</v>
      </c>
      <c r="I297" s="181"/>
      <c r="J297" s="181"/>
      <c r="K297" s="181"/>
      <c r="L297" s="181"/>
      <c r="M297" s="181"/>
      <c r="N297" s="181"/>
      <c r="O297" s="181"/>
      <c r="P297" s="181"/>
      <c r="Q297" s="181"/>
      <c r="R297" s="181"/>
      <c r="S297" s="181"/>
      <c r="T297" s="181"/>
      <c r="U297" s="181"/>
      <c r="V297" s="181"/>
      <c r="W297" s="181"/>
      <c r="X297" s="181"/>
      <c r="Y297" s="181"/>
      <c r="Z297" s="181"/>
      <c r="AA297" s="181"/>
      <c r="AB297" s="181"/>
      <c r="AC297" s="181"/>
      <c r="AD297" s="181"/>
      <c r="AE297" s="181"/>
      <c r="AF297" s="181"/>
      <c r="AG297" s="181"/>
      <c r="AH297" s="181"/>
      <c r="AI297" s="181"/>
      <c r="AJ297" s="181"/>
      <c r="AK297" s="181"/>
      <c r="AL297" s="181"/>
      <c r="AM297" s="181"/>
      <c r="AN297" s="181">
        <f t="array" ref="AN297">SUM(IF('2014-2017 Projects'!$T$5:$T$158="Renewal-160",'2014-2017 Projects'!$CE$5:$CE$158,0))</f>
        <v>13750000</v>
      </c>
      <c r="AO297" s="181">
        <f t="array" ref="AO297">SUM(IF('2014-2017 Projects'!$T$5:$T$158="Renewal-160",'2014-2017 Projects'!$CF$5:$CF$158,0))</f>
        <v>9750000</v>
      </c>
    </row>
    <row r="298" spans="1:41" ht="13.5">
      <c r="A298" s="198" t="s">
        <v>366</v>
      </c>
      <c r="B298" s="181" t="e">
        <f t="array" ref="B298">SUM(IF('[5]2013-2016 Projects'!$O$4:$O$202="Renewal-199",'[5]2013-2016 Projects'!$V$4:$V$202,0))</f>
        <v>#REF!</v>
      </c>
      <c r="C298" s="181" t="e">
        <f t="array" ref="C298">SUM(IF('[5]2013-2016 Projects'!$O$4:$O$202="Renewal-199",'[5]2013-2016 Projects'!$V$4:$V$202,0))</f>
        <v>#REF!</v>
      </c>
      <c r="D298" s="181" t="e">
        <f t="array" ref="D298">SUM(IF('[5]2013-2016 Projects'!$O$4:$O$202="Renewal-199",'[5]2013-2016 Projects'!$V$4:$V$202,0))</f>
        <v>#REF!</v>
      </c>
      <c r="E298" s="181" t="e">
        <f t="array" ref="E298">SUM(IF('[5]2013-2016 Projects'!$O$4:$O$202="Renewal-199",'[5]2013-2016 Projects'!$V$4:$V$202,0))</f>
        <v>#REF!</v>
      </c>
      <c r="F298" s="181" t="e">
        <f t="array" ref="F298">SUM(IF('[5]2013-2016 Projects'!$O$4:$O$202="Renewal-199",'[5]2013-2016 Projects'!$V$4:$V$202,0))</f>
        <v>#REF!</v>
      </c>
      <c r="G298" s="181"/>
      <c r="H298" s="181">
        <f t="array" ref="H298">SUM(IF('2014-2017 Projects'!$T$5:$T$158="Renewal-199",'2014-2017 Projects'!$AK$5:$AK$158,0))</f>
        <v>0</v>
      </c>
      <c r="I298" s="181"/>
      <c r="J298" s="181"/>
      <c r="K298" s="181"/>
      <c r="L298" s="181"/>
      <c r="M298" s="181"/>
      <c r="N298" s="181"/>
      <c r="O298" s="181"/>
      <c r="P298" s="181"/>
      <c r="Q298" s="181"/>
      <c r="R298" s="181"/>
      <c r="S298" s="181"/>
      <c r="T298" s="181"/>
      <c r="U298" s="181"/>
      <c r="V298" s="181"/>
      <c r="W298" s="181"/>
      <c r="X298" s="181"/>
      <c r="Y298" s="181"/>
      <c r="Z298" s="181"/>
      <c r="AA298" s="181"/>
      <c r="AB298" s="181"/>
      <c r="AC298" s="181"/>
      <c r="AD298" s="181"/>
      <c r="AE298" s="181"/>
      <c r="AF298" s="181"/>
      <c r="AG298" s="181"/>
      <c r="AH298" s="181"/>
      <c r="AI298" s="181"/>
      <c r="AJ298" s="181"/>
      <c r="AK298" s="181"/>
      <c r="AL298" s="181"/>
      <c r="AM298" s="181"/>
      <c r="AN298" s="181">
        <f t="array" ref="AN298">SUM(IF('2014-2017 Projects'!$T$5:$T$158="Renewal-199",'2014-2017 Projects'!$CE$5:$CE$158,0))</f>
        <v>0</v>
      </c>
      <c r="AO298" s="181">
        <f t="array" ref="AO298">SUM(IF('2014-2017 Projects'!$T$5:$T$158="Renewal-199",'2014-2017 Projects'!$CF$5:$CF$158,0))</f>
        <v>0</v>
      </c>
    </row>
    <row r="299" spans="1:41" ht="13.5">
      <c r="A299" s="198" t="s">
        <v>367</v>
      </c>
      <c r="B299" s="181" t="e">
        <f t="array" ref="B299">SUM(IF('[5]2013-2016 Projects'!$O$4:$O$202="Renewal-170",'[5]2013-2016 Projects'!$V$4:$V$202,0))</f>
        <v>#REF!</v>
      </c>
      <c r="C299" s="181" t="e">
        <f t="array" ref="C299">SUM(IF('[5]2013-2016 Projects'!$O$4:$O$202="Renewal-170",'[5]2013-2016 Projects'!$V$4:$V$202,0))</f>
        <v>#REF!</v>
      </c>
      <c r="D299" s="181" t="e">
        <f t="array" ref="D299">SUM(IF('[5]2013-2016 Projects'!$O$4:$O$202="Renewal-170",'[5]2013-2016 Projects'!$V$4:$V$202,0))</f>
        <v>#REF!</v>
      </c>
      <c r="E299" s="181" t="e">
        <f t="array" ref="E299">SUM(IF('[5]2013-2016 Projects'!$O$4:$O$202="Renewal-170",'[5]2013-2016 Projects'!$V$4:$V$202,0))</f>
        <v>#REF!</v>
      </c>
      <c r="F299" s="181" t="e">
        <f t="array" ref="F299">SUM(IF('[5]2013-2016 Projects'!$O$4:$O$202="Renewal-170",'[5]2013-2016 Projects'!$V$4:$V$202,0))</f>
        <v>#REF!</v>
      </c>
      <c r="G299" s="181"/>
      <c r="H299" s="181">
        <f t="array" ref="H299">SUM(IF('2014-2017 Projects'!$T$5:$T$158="Renewal-170",'2014-2017 Projects'!$AK$5:$AK$158,0))</f>
        <v>0</v>
      </c>
      <c r="I299" s="181"/>
      <c r="J299" s="181"/>
      <c r="K299" s="181"/>
      <c r="L299" s="181"/>
      <c r="M299" s="181"/>
      <c r="N299" s="181"/>
      <c r="O299" s="181"/>
      <c r="P299" s="181"/>
      <c r="Q299" s="181"/>
      <c r="R299" s="181"/>
      <c r="S299" s="181"/>
      <c r="T299" s="181"/>
      <c r="U299" s="181"/>
      <c r="V299" s="181"/>
      <c r="W299" s="181"/>
      <c r="X299" s="181"/>
      <c r="Y299" s="181"/>
      <c r="Z299" s="181"/>
      <c r="AA299" s="181"/>
      <c r="AB299" s="181"/>
      <c r="AC299" s="181"/>
      <c r="AD299" s="181"/>
      <c r="AE299" s="181"/>
      <c r="AF299" s="181"/>
      <c r="AG299" s="181"/>
      <c r="AH299" s="181"/>
      <c r="AI299" s="181"/>
      <c r="AJ299" s="181"/>
      <c r="AK299" s="181"/>
      <c r="AL299" s="181"/>
      <c r="AM299" s="181"/>
      <c r="AN299" s="181">
        <f t="array" ref="AN299">SUM(IF('2014-2017 Projects'!$T$5:$T$158="Renewal-170",'2014-2017 Projects'!$CE$5:$CE$158,0))</f>
        <v>0</v>
      </c>
      <c r="AO299" s="181">
        <f t="array" ref="AO299">SUM(IF('2014-2017 Projects'!$T$5:$T$158="Renewal-170",'2014-2017 Projects'!$CF$5:$CF$158,0))</f>
        <v>0</v>
      </c>
    </row>
    <row r="300" spans="1:41" ht="13.5">
      <c r="A300" s="198" t="s">
        <v>3</v>
      </c>
      <c r="B300" s="181" t="e">
        <f t="array" ref="B300">SUM(IF('[5]2013-2016 Projects'!$O$4:$O$202="Renewal-180",'[5]2013-2016 Projects'!$V$4:$V$202,0))</f>
        <v>#REF!</v>
      </c>
      <c r="C300" s="181" t="e">
        <f t="array" ref="C300">SUM(IF('[5]2013-2016 Projects'!$O$4:$O$202="Renewal-180",'[5]2013-2016 Projects'!$V$4:$V$202,0))</f>
        <v>#REF!</v>
      </c>
      <c r="D300" s="181" t="e">
        <f t="array" ref="D300">SUM(IF('[5]2013-2016 Projects'!$O$4:$O$202="Renewal-180",'[5]2013-2016 Projects'!$V$4:$V$202,0))</f>
        <v>#REF!</v>
      </c>
      <c r="E300" s="181" t="e">
        <f t="array" ref="E300">SUM(IF('[5]2013-2016 Projects'!$O$4:$O$202="Renewal-180",'[5]2013-2016 Projects'!$V$4:$V$202,0))</f>
        <v>#REF!</v>
      </c>
      <c r="F300" s="181" t="e">
        <f t="array" ref="F300">SUM(IF('[5]2013-2016 Projects'!$O$4:$O$202="Renewal-180",'[5]2013-2016 Projects'!$V$4:$V$202,0))</f>
        <v>#REF!</v>
      </c>
      <c r="G300" s="181"/>
      <c r="H300" s="181">
        <f t="array" ref="H300">SUM(IF('2014-2017 Projects'!$T$5:$T$158="Renewal-180",'2014-2017 Projects'!$AK$5:$AK$158,0))</f>
        <v>0</v>
      </c>
      <c r="I300" s="181"/>
      <c r="J300" s="181"/>
      <c r="K300" s="181"/>
      <c r="L300" s="181"/>
      <c r="M300" s="181"/>
      <c r="N300" s="181"/>
      <c r="O300" s="181"/>
      <c r="P300" s="181"/>
      <c r="Q300" s="181"/>
      <c r="R300" s="181"/>
      <c r="S300" s="181"/>
      <c r="T300" s="181"/>
      <c r="U300" s="181"/>
      <c r="V300" s="181"/>
      <c r="W300" s="181"/>
      <c r="X300" s="181"/>
      <c r="Y300" s="181"/>
      <c r="Z300" s="181"/>
      <c r="AA300" s="181"/>
      <c r="AB300" s="181"/>
      <c r="AC300" s="181"/>
      <c r="AD300" s="181"/>
      <c r="AE300" s="181"/>
      <c r="AF300" s="181"/>
      <c r="AG300" s="181"/>
      <c r="AH300" s="181"/>
      <c r="AI300" s="181"/>
      <c r="AJ300" s="181"/>
      <c r="AK300" s="181"/>
      <c r="AL300" s="181"/>
      <c r="AM300" s="181"/>
      <c r="AN300" s="181">
        <f t="array" ref="AN300">SUM(IF('2014-2017 Projects'!$T$5:$T$158="Renewal-180",'2014-2017 Projects'!$CE$5:$CE$158,0))</f>
        <v>0</v>
      </c>
      <c r="AO300" s="181">
        <f t="array" ref="AO300">SUM(IF('2014-2017 Projects'!$T$5:$T$158="Renewal-180",'2014-2017 Projects'!$CF$5:$CF$158,0))</f>
        <v>0</v>
      </c>
    </row>
    <row r="301" spans="1:41" ht="13.5">
      <c r="A301" s="198" t="s">
        <v>368</v>
      </c>
      <c r="B301" s="181" t="e">
        <f t="array" ref="B301">SUM(IF('[5]2013-2016 Projects'!$O$4:$O$202="Renewal-190",'[5]2013-2016 Projects'!$V$4:$V$202,0))</f>
        <v>#REF!</v>
      </c>
      <c r="C301" s="181" t="e">
        <f t="array" ref="C301">SUM(IF('[5]2013-2016 Projects'!$O$4:$O$202="Renewal-190",'[5]2013-2016 Projects'!$V$4:$V$202,0))</f>
        <v>#REF!</v>
      </c>
      <c r="D301" s="181" t="e">
        <f t="array" ref="D301">SUM(IF('[5]2013-2016 Projects'!$O$4:$O$202="Renewal-190",'[5]2013-2016 Projects'!$V$4:$V$202,0))</f>
        <v>#REF!</v>
      </c>
      <c r="E301" s="181" t="e">
        <f t="array" ref="E301">SUM(IF('[5]2013-2016 Projects'!$O$4:$O$202="Renewal-190",'[5]2013-2016 Projects'!$V$4:$V$202,0))</f>
        <v>#REF!</v>
      </c>
      <c r="F301" s="181" t="e">
        <f t="array" ref="F301">SUM(IF('[5]2013-2016 Projects'!$O$4:$O$202="Renewal-190",'[5]2013-2016 Projects'!$V$4:$V$202,0))</f>
        <v>#REF!</v>
      </c>
      <c r="G301" s="181"/>
      <c r="H301" s="181">
        <f t="array" ref="H301">SUM(IF('2014-2017 Projects'!$T$5:$T$158="Renewal-190",'2014-2017 Projects'!$AK$5:$AK$158,0))</f>
        <v>3238502</v>
      </c>
      <c r="I301" s="181"/>
      <c r="J301" s="181"/>
      <c r="K301" s="181"/>
      <c r="L301" s="181"/>
      <c r="M301" s="181"/>
      <c r="N301" s="181"/>
      <c r="O301" s="181"/>
      <c r="P301" s="181"/>
      <c r="Q301" s="181"/>
      <c r="R301" s="181"/>
      <c r="S301" s="181"/>
      <c r="T301" s="181"/>
      <c r="U301" s="181"/>
      <c r="V301" s="181"/>
      <c r="W301" s="181"/>
      <c r="X301" s="181"/>
      <c r="Y301" s="181"/>
      <c r="Z301" s="181"/>
      <c r="AA301" s="181"/>
      <c r="AB301" s="181"/>
      <c r="AC301" s="181"/>
      <c r="AD301" s="181"/>
      <c r="AE301" s="181"/>
      <c r="AF301" s="181"/>
      <c r="AG301" s="181"/>
      <c r="AH301" s="181"/>
      <c r="AI301" s="181"/>
      <c r="AJ301" s="181"/>
      <c r="AK301" s="181"/>
      <c r="AL301" s="181"/>
      <c r="AM301" s="181"/>
      <c r="AN301" s="181">
        <f t="array" ref="AN301">SUM(IF('2014-2017 Projects'!$T$5:$T$158="Renewal-190",'2014-2017 Projects'!$CE$5:$CE$158,0))</f>
        <v>8000000</v>
      </c>
      <c r="AO301" s="181">
        <f t="array" ref="AO301">SUM(IF('2014-2017 Projects'!$T$5:$T$158="Renewal-190",'2014-2017 Projects'!$CF$5:$CF$158,0))</f>
        <v>10000000</v>
      </c>
    </row>
    <row r="302" spans="1:41" ht="13.5">
      <c r="A302" s="198" t="s">
        <v>369</v>
      </c>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c r="AC302" s="181"/>
      <c r="AD302" s="181"/>
      <c r="AE302" s="181"/>
      <c r="AF302" s="181"/>
      <c r="AG302" s="181"/>
      <c r="AH302" s="181"/>
      <c r="AI302" s="181"/>
      <c r="AJ302" s="181"/>
      <c r="AK302" s="181"/>
      <c r="AL302" s="181"/>
      <c r="AM302" s="181"/>
      <c r="AN302" s="181"/>
      <c r="AO302" s="181"/>
    </row>
    <row r="303" spans="1:41" ht="13.5">
      <c r="A303" s="198" t="s">
        <v>370</v>
      </c>
      <c r="B303" s="182"/>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c r="AA303" s="182"/>
      <c r="AB303" s="182"/>
      <c r="AC303" s="182"/>
      <c r="AD303" s="182"/>
      <c r="AE303" s="182"/>
      <c r="AF303" s="182"/>
      <c r="AG303" s="182"/>
      <c r="AH303" s="182"/>
      <c r="AI303" s="182"/>
      <c r="AJ303" s="182"/>
      <c r="AK303" s="182"/>
      <c r="AL303" s="182"/>
      <c r="AM303" s="182"/>
      <c r="AN303" s="182"/>
      <c r="AO303" s="182"/>
    </row>
    <row r="304" spans="1:41" ht="13.5">
      <c r="A304" s="198" t="s">
        <v>371</v>
      </c>
      <c r="B304" s="182"/>
      <c r="C304" s="182"/>
      <c r="D304" s="182"/>
      <c r="E304" s="182"/>
      <c r="F304" s="182"/>
      <c r="G304" s="182"/>
      <c r="H304" s="181">
        <f t="array" ref="H304">SUM(IF('2014-2017 Projects'!$T$5:$T$158="Renewal-390",'2014-2017 Projects'!$AK$5:$AK$158,0))</f>
        <v>0</v>
      </c>
      <c r="I304" s="181"/>
      <c r="J304" s="181"/>
      <c r="K304" s="181"/>
      <c r="L304" s="181"/>
      <c r="M304" s="181"/>
      <c r="N304" s="181"/>
      <c r="O304" s="181"/>
      <c r="P304" s="181"/>
      <c r="Q304" s="181"/>
      <c r="R304" s="181"/>
      <c r="S304" s="181"/>
      <c r="T304" s="181"/>
      <c r="U304" s="181"/>
      <c r="V304" s="181"/>
      <c r="W304" s="181"/>
      <c r="X304" s="181"/>
      <c r="Y304" s="181"/>
      <c r="Z304" s="181"/>
      <c r="AA304" s="181"/>
      <c r="AB304" s="181"/>
      <c r="AC304" s="181"/>
      <c r="AD304" s="181"/>
      <c r="AE304" s="181"/>
      <c r="AF304" s="181"/>
      <c r="AG304" s="181"/>
      <c r="AH304" s="181"/>
      <c r="AI304" s="181"/>
      <c r="AJ304" s="181"/>
      <c r="AK304" s="181"/>
      <c r="AL304" s="181"/>
      <c r="AM304" s="181"/>
      <c r="AN304" s="181">
        <f t="array" ref="AN304">SUM(IF('2014-2017 Projects'!$T$5:$T$158="Renewal-390",'2014-2017 Projects'!$CE$5:$CE$158,0))</f>
        <v>0</v>
      </c>
      <c r="AO304" s="181">
        <f t="array" ref="AO304">SUM(IF('2014-2017 Projects'!$T$5:$T$158="Renewal-390",'2014-2017 Projects'!$CF$5:$CF$158,0))</f>
        <v>0</v>
      </c>
    </row>
    <row r="305" spans="1:41" ht="13.5">
      <c r="A305" s="198" t="s">
        <v>372</v>
      </c>
      <c r="B305" s="181" t="e">
        <f t="array" ref="B305">SUM(IF('[5]2013-2016 Projects'!$O$4:$O$202="Renewal-200",'[5]2013-2016 Projects'!$V$4:$V$202,0))</f>
        <v>#REF!</v>
      </c>
      <c r="C305" s="181" t="e">
        <f t="array" ref="C305">SUM(IF('[5]2013-2016 Projects'!$O$4:$O$202="Renewal-200",'[5]2013-2016 Projects'!$V$4:$V$202,0))</f>
        <v>#REF!</v>
      </c>
      <c r="D305" s="181" t="e">
        <f t="array" ref="D305">SUM(IF('[5]2013-2016 Projects'!$O$4:$O$202="Renewal-200",'[5]2013-2016 Projects'!$V$4:$V$202,0))</f>
        <v>#REF!</v>
      </c>
      <c r="E305" s="181" t="e">
        <f t="array" ref="E305">SUM(IF('[5]2013-2016 Projects'!$O$4:$O$202="Renewal-200",'[5]2013-2016 Projects'!$V$4:$V$202,0))</f>
        <v>#REF!</v>
      </c>
      <c r="F305" s="181" t="e">
        <f t="array" ref="F305">SUM(IF('[5]2013-2016 Projects'!$O$4:$O$202="Renewal-200",'[5]2013-2016 Projects'!$V$4:$V$202,0))</f>
        <v>#REF!</v>
      </c>
      <c r="G305" s="181"/>
      <c r="H305" s="181">
        <f t="array" ref="H305">SUM(IF('2014-2017 Projects'!$T$5:$T$158="Renewal-200",'2014-2017 Projects'!$AK$5:$AK$158,0))</f>
        <v>0</v>
      </c>
      <c r="I305" s="181"/>
      <c r="J305" s="181"/>
      <c r="K305" s="181"/>
      <c r="L305" s="181"/>
      <c r="M305" s="181"/>
      <c r="N305" s="181"/>
      <c r="O305" s="181"/>
      <c r="P305" s="181"/>
      <c r="Q305" s="181"/>
      <c r="R305" s="181"/>
      <c r="S305" s="181"/>
      <c r="T305" s="181"/>
      <c r="U305" s="181"/>
      <c r="V305" s="181"/>
      <c r="W305" s="181"/>
      <c r="X305" s="181"/>
      <c r="Y305" s="181"/>
      <c r="Z305" s="181"/>
      <c r="AA305" s="181"/>
      <c r="AB305" s="181"/>
      <c r="AC305" s="181"/>
      <c r="AD305" s="181"/>
      <c r="AE305" s="181"/>
      <c r="AF305" s="181"/>
      <c r="AG305" s="181"/>
      <c r="AH305" s="181"/>
      <c r="AI305" s="181"/>
      <c r="AJ305" s="181"/>
      <c r="AK305" s="181"/>
      <c r="AL305" s="181"/>
      <c r="AM305" s="181"/>
      <c r="AN305" s="181">
        <f t="array" ref="AN305">SUM(IF('2014-2017 Projects'!$T$5:$T$158="Renewal-200",'2014-2017 Projects'!$CE$5:$CE$158,0))</f>
        <v>0</v>
      </c>
      <c r="AO305" s="181">
        <f t="array" ref="AO305">SUM(IF('2014-2017 Projects'!$T$5:$T$158="Renewal-200",'2014-2017 Projects'!$CF$5:$CF$158,0))</f>
        <v>0</v>
      </c>
    </row>
    <row r="306" spans="1:41" ht="13.5">
      <c r="A306" s="198" t="s">
        <v>373</v>
      </c>
      <c r="B306" s="181" t="e">
        <f t="array" ref="B306">SUM(IF('[5]2013-2016 Projects'!$O$4:$O$202="Renewal-210",'[5]2013-2016 Projects'!$V$4:$V$202,0))</f>
        <v>#REF!</v>
      </c>
      <c r="C306" s="181" t="e">
        <f t="array" ref="C306">SUM(IF('[5]2013-2016 Projects'!$O$4:$O$202="Renewal-210",'[5]2013-2016 Projects'!$V$4:$V$202,0))</f>
        <v>#REF!</v>
      </c>
      <c r="D306" s="181" t="e">
        <f t="array" ref="D306">SUM(IF('[5]2013-2016 Projects'!$O$4:$O$202="Renewal-210",'[5]2013-2016 Projects'!$V$4:$V$202,0))</f>
        <v>#REF!</v>
      </c>
      <c r="E306" s="181" t="e">
        <f t="array" ref="E306">SUM(IF('[5]2013-2016 Projects'!$O$4:$O$202="Renewal-210",'[5]2013-2016 Projects'!$V$4:$V$202,0))</f>
        <v>#REF!</v>
      </c>
      <c r="F306" s="181" t="e">
        <f t="array" ref="F306">SUM(IF('[5]2013-2016 Projects'!$O$4:$O$202="Renewal-210",'[5]2013-2016 Projects'!$V$4:$V$202,0))</f>
        <v>#REF!</v>
      </c>
      <c r="G306" s="181"/>
      <c r="H306" s="182"/>
      <c r="I306" s="182"/>
      <c r="J306" s="182"/>
      <c r="K306" s="182"/>
      <c r="L306" s="182"/>
      <c r="M306" s="182"/>
      <c r="N306" s="182"/>
      <c r="O306" s="182"/>
      <c r="P306" s="182"/>
      <c r="Q306" s="182"/>
      <c r="R306" s="182"/>
      <c r="S306" s="182"/>
      <c r="T306" s="182"/>
      <c r="U306" s="182"/>
      <c r="V306" s="182"/>
      <c r="W306" s="182"/>
      <c r="X306" s="182"/>
      <c r="Y306" s="182"/>
      <c r="Z306" s="182"/>
      <c r="AA306" s="182"/>
      <c r="AB306" s="182"/>
      <c r="AC306" s="182"/>
      <c r="AD306" s="182"/>
      <c r="AE306" s="182"/>
      <c r="AF306" s="182"/>
      <c r="AG306" s="182"/>
      <c r="AH306" s="182"/>
      <c r="AI306" s="182"/>
      <c r="AJ306" s="182"/>
      <c r="AK306" s="182"/>
      <c r="AL306" s="182"/>
      <c r="AM306" s="182"/>
      <c r="AN306" s="182"/>
      <c r="AO306" s="182"/>
    </row>
    <row r="307" spans="1:41" ht="13.5">
      <c r="A307" s="198" t="s">
        <v>4</v>
      </c>
      <c r="B307" s="181">
        <v>0</v>
      </c>
      <c r="C307" s="181">
        <v>0</v>
      </c>
      <c r="D307" s="181">
        <v>0</v>
      </c>
      <c r="E307" s="181">
        <v>0</v>
      </c>
      <c r="F307" s="181">
        <v>0</v>
      </c>
      <c r="G307" s="181"/>
      <c r="H307" s="181">
        <f t="array" ref="H307">SUM(IF('2014-2017 Projects'!$T$5:$T$158="Renewal-220",'2014-2017 Projects'!$AK$5:$AK$158,0))</f>
        <v>0</v>
      </c>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f t="array" ref="AN307">SUM(IF('2014-2017 Projects'!$T$5:$T$158="Renewal-220",'2014-2017 Projects'!$CE$5:$CE$158,0))</f>
        <v>0</v>
      </c>
      <c r="AO307" s="181">
        <f t="array" ref="AO307">SUM(IF('2014-2017 Projects'!$T$5:$T$158="Renewal-220",'2014-2017 Projects'!$CF$5:$CF$158,0))</f>
        <v>0</v>
      </c>
    </row>
    <row r="308" spans="1:41" ht="13.5">
      <c r="A308" s="198" t="s">
        <v>374</v>
      </c>
      <c r="B308" s="182"/>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c r="AN308" s="182"/>
      <c r="AO308" s="182"/>
    </row>
    <row r="309" spans="1:41" ht="13.5">
      <c r="A309" s="198" t="s">
        <v>36</v>
      </c>
      <c r="B309" s="181" t="e">
        <f t="array" ref="B309">SUM(IF('[5]2013-2016 Projects'!$O$4:$O$202="Renewal-220",'[5]2013-2016 Projects'!$V$4:$V$202,0))</f>
        <v>#REF!</v>
      </c>
      <c r="C309" s="181" t="e">
        <f t="array" ref="C309">SUM(IF('[5]2013-2016 Projects'!$O$4:$O$202="Renewal-220",'[5]2013-2016 Projects'!$V$4:$V$202,0))</f>
        <v>#REF!</v>
      </c>
      <c r="D309" s="181" t="e">
        <f t="array" ref="D309">SUM(IF('[5]2013-2016 Projects'!$O$4:$O$202="Renewal-220",'[5]2013-2016 Projects'!$V$4:$V$202,0))</f>
        <v>#REF!</v>
      </c>
      <c r="E309" s="181" t="e">
        <f t="array" ref="E309">SUM(IF('[5]2013-2016 Projects'!$O$4:$O$202="Renewal-220",'[5]2013-2016 Projects'!$V$4:$V$202,0))</f>
        <v>#REF!</v>
      </c>
      <c r="F309" s="181" t="e">
        <f t="array" ref="F309">SUM(IF('[5]2013-2016 Projects'!$O$4:$O$202="Renewal-220",'[5]2013-2016 Projects'!$V$4:$V$202,0))</f>
        <v>#REF!</v>
      </c>
      <c r="G309" s="18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row>
    <row r="310" spans="1:41" ht="13.5">
      <c r="A310" s="210"/>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row>
    <row r="311" spans="1:41" ht="13.5">
      <c r="A311" s="205" t="s">
        <v>342</v>
      </c>
      <c r="B311" s="177">
        <f>SUM(B312:B313)</f>
        <v>0</v>
      </c>
      <c r="C311" s="177">
        <f>SUM(C312:C313)</f>
        <v>0</v>
      </c>
      <c r="D311" s="177">
        <f>SUM(D312:D313)</f>
        <v>0</v>
      </c>
      <c r="E311" s="177">
        <f>SUM(E312:E313)</f>
        <v>0</v>
      </c>
      <c r="F311" s="177">
        <f>SUM(F312:F313)</f>
        <v>0</v>
      </c>
      <c r="G311" s="177"/>
      <c r="H311" s="177">
        <f>SUM(H312:H313)</f>
        <v>0</v>
      </c>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f>SUM(AN312:AN313)</f>
        <v>0</v>
      </c>
      <c r="AO311" s="177">
        <f>SUM(AO312:AO313)</f>
        <v>0</v>
      </c>
    </row>
    <row r="312" spans="1:41" ht="13.5">
      <c r="A312" s="198" t="s">
        <v>375</v>
      </c>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c r="AA312" s="212"/>
      <c r="AB312" s="212"/>
      <c r="AC312" s="212"/>
      <c r="AD312" s="212"/>
      <c r="AE312" s="212"/>
      <c r="AF312" s="212"/>
      <c r="AG312" s="212"/>
      <c r="AH312" s="212"/>
      <c r="AI312" s="212"/>
      <c r="AJ312" s="212"/>
      <c r="AK312" s="212"/>
      <c r="AL312" s="212"/>
      <c r="AM312" s="212"/>
      <c r="AN312" s="212"/>
      <c r="AO312" s="212"/>
    </row>
    <row r="313" spans="1:41" ht="13.5">
      <c r="A313" s="197" t="s">
        <v>36</v>
      </c>
      <c r="B313" s="213"/>
      <c r="C313" s="213"/>
      <c r="D313" s="213"/>
      <c r="E313" s="213"/>
      <c r="F313" s="213"/>
      <c r="G313" s="213"/>
      <c r="H313" s="213"/>
      <c r="I313" s="213"/>
      <c r="J313" s="213"/>
      <c r="K313" s="213"/>
      <c r="L313" s="213"/>
      <c r="M313" s="213"/>
      <c r="N313" s="213"/>
      <c r="O313" s="213"/>
      <c r="P313" s="213"/>
      <c r="Q313" s="213"/>
      <c r="R313" s="213"/>
      <c r="S313" s="213"/>
      <c r="T313" s="213"/>
      <c r="U313" s="213"/>
      <c r="V313" s="213"/>
      <c r="W313" s="213"/>
      <c r="X313" s="213"/>
      <c r="Y313" s="213"/>
      <c r="Z313" s="213"/>
      <c r="AA313" s="213"/>
      <c r="AB313" s="213"/>
      <c r="AC313" s="213"/>
      <c r="AD313" s="213"/>
      <c r="AE313" s="213"/>
      <c r="AF313" s="213"/>
      <c r="AG313" s="213"/>
      <c r="AH313" s="213"/>
      <c r="AI313" s="213"/>
      <c r="AJ313" s="213"/>
      <c r="AK313" s="213"/>
      <c r="AL313" s="213"/>
      <c r="AM313" s="213"/>
      <c r="AN313" s="213"/>
      <c r="AO313" s="213"/>
    </row>
    <row r="314" spans="1:41" ht="13.5">
      <c r="A314" s="210"/>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c r="AA314" s="177"/>
      <c r="AB314" s="177"/>
      <c r="AC314" s="177"/>
      <c r="AD314" s="177"/>
      <c r="AE314" s="177"/>
      <c r="AF314" s="177"/>
      <c r="AG314" s="177"/>
      <c r="AH314" s="177"/>
      <c r="AI314" s="177"/>
      <c r="AJ314" s="177"/>
      <c r="AK314" s="177"/>
      <c r="AL314" s="177"/>
      <c r="AM314" s="177"/>
      <c r="AN314" s="177"/>
      <c r="AO314" s="177"/>
    </row>
    <row r="315" spans="1:41" ht="13.5">
      <c r="A315" s="205" t="s">
        <v>343</v>
      </c>
      <c r="B315" s="186" t="e">
        <f>SUM(B316:B317)</f>
        <v>#REF!</v>
      </c>
      <c r="C315" s="186" t="e">
        <f>SUM(C316:C317)</f>
        <v>#REF!</v>
      </c>
      <c r="D315" s="186" t="e">
        <f>SUM(D316:D317)</f>
        <v>#REF!</v>
      </c>
      <c r="E315" s="186" t="e">
        <f>SUM(E316:E317)</f>
        <v>#REF!</v>
      </c>
      <c r="F315" s="186" t="e">
        <f>SUM(F316:F317)</f>
        <v>#REF!</v>
      </c>
      <c r="G315" s="186"/>
      <c r="H315" s="186">
        <f>SUM(H316:H317)</f>
        <v>0</v>
      </c>
      <c r="I315" s="186"/>
      <c r="J315" s="186"/>
      <c r="K315" s="186"/>
      <c r="L315" s="186"/>
      <c r="M315" s="186"/>
      <c r="N315" s="186"/>
      <c r="O315" s="186"/>
      <c r="P315" s="186"/>
      <c r="Q315" s="186"/>
      <c r="R315" s="186"/>
      <c r="S315" s="186"/>
      <c r="T315" s="186"/>
      <c r="U315" s="186"/>
      <c r="V315" s="186"/>
      <c r="W315" s="186"/>
      <c r="X315" s="186"/>
      <c r="Y315" s="186"/>
      <c r="Z315" s="186"/>
      <c r="AA315" s="186"/>
      <c r="AB315" s="186"/>
      <c r="AC315" s="186"/>
      <c r="AD315" s="186"/>
      <c r="AE315" s="186"/>
      <c r="AF315" s="186"/>
      <c r="AG315" s="186"/>
      <c r="AH315" s="186"/>
      <c r="AI315" s="186"/>
      <c r="AJ315" s="186"/>
      <c r="AK315" s="186"/>
      <c r="AL315" s="186"/>
      <c r="AM315" s="186"/>
      <c r="AN315" s="186">
        <f>SUM(AN316:AN317)</f>
        <v>0</v>
      </c>
      <c r="AO315" s="186">
        <f>SUM(AO316:AO317)</f>
        <v>0</v>
      </c>
    </row>
    <row r="316" spans="1:41" ht="13.5">
      <c r="A316" s="198" t="s">
        <v>376</v>
      </c>
      <c r="B316" s="181" t="e">
        <f t="array" ref="B316">SUM(IF('[5]2013-2016 Projects'!$O$4:$O$202="Renewal-80",'[5]2013-2016 Projects'!$V$4:$V$202,0))</f>
        <v>#REF!</v>
      </c>
      <c r="C316" s="181" t="e">
        <f t="array" ref="C316">SUM(IF('[5]2013-2016 Projects'!$O$4:$O$202="Renewal-80",'[5]2013-2016 Projects'!$V$4:$V$202,0))</f>
        <v>#REF!</v>
      </c>
      <c r="D316" s="181" t="e">
        <f t="array" ref="D316">SUM(IF('[5]2013-2016 Projects'!$O$4:$O$202="Renewal-80",'[5]2013-2016 Projects'!$V$4:$V$202,0))</f>
        <v>#REF!</v>
      </c>
      <c r="E316" s="181" t="e">
        <f t="array" ref="E316">SUM(IF('[5]2013-2016 Projects'!$O$4:$O$202="Renewal-80",'[5]2013-2016 Projects'!$V$4:$V$202,0))</f>
        <v>#REF!</v>
      </c>
      <c r="F316" s="181" t="e">
        <f t="array" ref="F316">SUM(IF('[5]2013-2016 Projects'!$O$4:$O$202="Renewal-80",'[5]2013-2016 Projects'!$V$4:$V$202,0))</f>
        <v>#REF!</v>
      </c>
      <c r="G316" s="181"/>
      <c r="H316" s="181">
        <f t="array" ref="H316">SUM(IF('2014-2017 Projects'!$T$5:$T$158="Renewal-80",'2014-2017 Projects'!$AK$5:$AK$158,0))</f>
        <v>0</v>
      </c>
      <c r="I316" s="181"/>
      <c r="J316" s="181"/>
      <c r="K316" s="181"/>
      <c r="L316" s="181"/>
      <c r="M316" s="181"/>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f t="array" ref="AN316">SUM(IF('2014-2017 Projects'!$T$5:$T$158="Renewal-80",'2014-2017 Projects'!$CE$5:$CE$158,0))</f>
        <v>0</v>
      </c>
      <c r="AO316" s="181">
        <f t="array" ref="AO316">SUM(IF('2014-2017 Projects'!$T$5:$T$158="Renewal-80",'2014-2017 Projects'!$CF$5:$CF$158,0))</f>
        <v>0</v>
      </c>
    </row>
    <row r="317" spans="1:41" ht="13.5">
      <c r="A317" s="198" t="s">
        <v>36</v>
      </c>
      <c r="B317" s="215"/>
      <c r="C317" s="215"/>
      <c r="D317" s="215"/>
      <c r="E317" s="215"/>
      <c r="F317" s="215"/>
      <c r="G317" s="215"/>
      <c r="H317" s="215"/>
      <c r="I317" s="215"/>
      <c r="J317" s="215"/>
      <c r="K317" s="215"/>
      <c r="L317" s="215"/>
      <c r="M317" s="215"/>
      <c r="N317" s="215"/>
      <c r="O317" s="215"/>
      <c r="P317" s="215"/>
      <c r="Q317" s="215"/>
      <c r="R317" s="215"/>
      <c r="S317" s="215"/>
      <c r="T317" s="215"/>
      <c r="U317" s="215"/>
      <c r="V317" s="215"/>
      <c r="W317" s="215"/>
      <c r="X317" s="215"/>
      <c r="Y317" s="215"/>
      <c r="Z317" s="215"/>
      <c r="AA317" s="215"/>
      <c r="AB317" s="215"/>
      <c r="AC317" s="215"/>
      <c r="AD317" s="215"/>
      <c r="AE317" s="215"/>
      <c r="AF317" s="215"/>
      <c r="AG317" s="215"/>
      <c r="AH317" s="215"/>
      <c r="AI317" s="215"/>
      <c r="AJ317" s="215"/>
      <c r="AK317" s="215"/>
      <c r="AL317" s="215"/>
      <c r="AM317" s="215"/>
      <c r="AN317" s="215"/>
      <c r="AO317" s="215"/>
    </row>
    <row r="318" spans="1:41" ht="13.5">
      <c r="A318" s="210"/>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c r="AA318" s="177"/>
      <c r="AB318" s="177"/>
      <c r="AC318" s="177"/>
      <c r="AD318" s="177"/>
      <c r="AE318" s="177"/>
      <c r="AF318" s="177"/>
      <c r="AG318" s="177"/>
      <c r="AH318" s="177"/>
      <c r="AI318" s="177"/>
      <c r="AJ318" s="177"/>
      <c r="AK318" s="177"/>
      <c r="AL318" s="177"/>
      <c r="AM318" s="177"/>
      <c r="AN318" s="177"/>
      <c r="AO318" s="177"/>
    </row>
    <row r="319" spans="1:41" ht="13.5">
      <c r="A319" s="205" t="s">
        <v>5</v>
      </c>
      <c r="B319" s="186" t="e">
        <f>SUM(B320:B331)</f>
        <v>#REF!</v>
      </c>
      <c r="C319" s="186" t="e">
        <f>SUM(C320:C331)</f>
        <v>#REF!</v>
      </c>
      <c r="D319" s="186" t="e">
        <f>SUM(D320:D331)</f>
        <v>#REF!</v>
      </c>
      <c r="E319" s="186" t="e">
        <f>SUM(E320:E331)</f>
        <v>#REF!</v>
      </c>
      <c r="F319" s="186" t="e">
        <f>SUM(F320:F331)</f>
        <v>#REF!</v>
      </c>
      <c r="G319" s="186"/>
      <c r="H319" s="186">
        <f>SUM(H320:H331)</f>
        <v>20395288</v>
      </c>
      <c r="I319" s="186"/>
      <c r="J319" s="186"/>
      <c r="K319" s="186"/>
      <c r="L319" s="186"/>
      <c r="M319" s="186"/>
      <c r="N319" s="186"/>
      <c r="O319" s="186"/>
      <c r="P319" s="186"/>
      <c r="Q319" s="186"/>
      <c r="R319" s="186"/>
      <c r="S319" s="186"/>
      <c r="T319" s="186"/>
      <c r="U319" s="186"/>
      <c r="V319" s="186"/>
      <c r="W319" s="186"/>
      <c r="X319" s="186"/>
      <c r="Y319" s="186"/>
      <c r="Z319" s="186"/>
      <c r="AA319" s="186"/>
      <c r="AB319" s="186"/>
      <c r="AC319" s="186"/>
      <c r="AD319" s="186"/>
      <c r="AE319" s="186"/>
      <c r="AF319" s="186"/>
      <c r="AG319" s="186"/>
      <c r="AH319" s="186"/>
      <c r="AI319" s="186"/>
      <c r="AJ319" s="186"/>
      <c r="AK319" s="186"/>
      <c r="AL319" s="186"/>
      <c r="AM319" s="186"/>
      <c r="AN319" s="186">
        <f>SUM(AN320:AN331)</f>
        <v>17720661</v>
      </c>
      <c r="AO319" s="186">
        <f>SUM(AO320:AO331)</f>
        <v>21655051</v>
      </c>
    </row>
    <row r="320" spans="1:41" ht="13.5">
      <c r="A320" s="197" t="s">
        <v>377</v>
      </c>
      <c r="B320" s="214" t="e">
        <f t="array" ref="B320">SUM(IF('[5]2013-2016 Projects'!$O$4:$O$202="Renewal-250",'[5]2013-2016 Projects'!$V$4:$V$202,0))</f>
        <v>#REF!</v>
      </c>
      <c r="C320" s="214" t="e">
        <f t="array" ref="C320">SUM(IF('[5]2013-2016 Projects'!$O$4:$O$202="Renewal-250",'[5]2013-2016 Projects'!$V$4:$V$202,0))</f>
        <v>#REF!</v>
      </c>
      <c r="D320" s="214" t="e">
        <f t="array" ref="D320">SUM(IF('[5]2013-2016 Projects'!$O$4:$O$202="Renewal-250",'[5]2013-2016 Projects'!$V$4:$V$202,0))</f>
        <v>#REF!</v>
      </c>
      <c r="E320" s="214" t="e">
        <f t="array" ref="E320">SUM(IF('[5]2013-2016 Projects'!$O$4:$O$202="Renewal-250",'[5]2013-2016 Projects'!$V$4:$V$202,0))</f>
        <v>#REF!</v>
      </c>
      <c r="F320" s="214" t="e">
        <f t="array" ref="F320">SUM(IF('[5]2013-2016 Projects'!$O$4:$O$202="Renewal-250",'[5]2013-2016 Projects'!$V$4:$V$202,0))</f>
        <v>#REF!</v>
      </c>
      <c r="G320" s="214"/>
      <c r="H320" s="181">
        <f t="array" ref="H320">SUM(IF('2014-2017 Projects'!$T$5:$T$158="Renewal-250",'2014-2017 Projects'!$AK$5:$AK$158,0))</f>
        <v>0</v>
      </c>
      <c r="I320" s="181"/>
      <c r="J320" s="181"/>
      <c r="K320" s="181"/>
      <c r="L320" s="181"/>
      <c r="M320" s="181"/>
      <c r="N320" s="181"/>
      <c r="O320" s="181"/>
      <c r="P320" s="181"/>
      <c r="Q320" s="181"/>
      <c r="R320" s="181"/>
      <c r="S320" s="181"/>
      <c r="T320" s="181"/>
      <c r="U320" s="181"/>
      <c r="V320" s="181"/>
      <c r="W320" s="181"/>
      <c r="X320" s="181"/>
      <c r="Y320" s="181"/>
      <c r="Z320" s="181"/>
      <c r="AA320" s="181"/>
      <c r="AB320" s="181"/>
      <c r="AC320" s="181"/>
      <c r="AD320" s="181"/>
      <c r="AE320" s="181"/>
      <c r="AF320" s="181"/>
      <c r="AG320" s="181"/>
      <c r="AH320" s="181"/>
      <c r="AI320" s="181"/>
      <c r="AJ320" s="181"/>
      <c r="AK320" s="181"/>
      <c r="AL320" s="181"/>
      <c r="AM320" s="181"/>
      <c r="AN320" s="181">
        <f t="array" ref="AN320">SUM(IF('2014-2017 Projects'!$T$5:$T$158="Renewal-250",'2014-2017 Projects'!$CE$5:$CE$158,0))</f>
        <v>0</v>
      </c>
      <c r="AO320" s="181">
        <f t="array" ref="AO320">SUM(IF('2014-2017 Projects'!$T$5:$T$158="Renewal-250",'2014-2017 Projects'!$CF$5:$CF$158,0))</f>
        <v>0</v>
      </c>
    </row>
    <row r="321" spans="1:41" ht="13.5">
      <c r="A321" s="197" t="s">
        <v>378</v>
      </c>
      <c r="B321" s="181" t="e">
        <f t="array" ref="B321">SUM(IF('[5]2013-2016 Projects'!$O$4:$O$202="Renewal-340",'[5]2013-2016 Projects'!$V$4:$V$202,0))</f>
        <v>#REF!</v>
      </c>
      <c r="C321" s="181" t="e">
        <f t="array" ref="C321">SUM(IF('[5]2013-2016 Projects'!$O$4:$O$202="Renewal-340",'[5]2013-2016 Projects'!$V$4:$V$202,0))</f>
        <v>#REF!</v>
      </c>
      <c r="D321" s="181" t="e">
        <f t="array" ref="D321">SUM(IF('[5]2013-2016 Projects'!$O$4:$O$202="Renewal-340",'[5]2013-2016 Projects'!$V$4:$V$202,0))</f>
        <v>#REF!</v>
      </c>
      <c r="E321" s="181" t="e">
        <f t="array" ref="E321">SUM(IF('[5]2013-2016 Projects'!$O$4:$O$202="Renewal-340",'[5]2013-2016 Projects'!$V$4:$V$202,0))</f>
        <v>#REF!</v>
      </c>
      <c r="F321" s="181" t="e">
        <f t="array" ref="F321">SUM(IF('[5]2013-2016 Projects'!$O$4:$O$202="Renewal-340",'[5]2013-2016 Projects'!$V$4:$V$202,0))</f>
        <v>#REF!</v>
      </c>
      <c r="G321" s="181"/>
      <c r="H321" s="181">
        <f>+H347</f>
        <v>0</v>
      </c>
      <c r="I321" s="181"/>
      <c r="J321" s="181"/>
      <c r="K321" s="181"/>
      <c r="L321" s="181"/>
      <c r="M321" s="181"/>
      <c r="N321" s="181"/>
      <c r="O321" s="181"/>
      <c r="P321" s="181"/>
      <c r="Q321" s="181"/>
      <c r="R321" s="181"/>
      <c r="S321" s="181"/>
      <c r="T321" s="181"/>
      <c r="U321" s="181"/>
      <c r="V321" s="181"/>
      <c r="W321" s="181"/>
      <c r="X321" s="181"/>
      <c r="Y321" s="181"/>
      <c r="Z321" s="181"/>
      <c r="AA321" s="181"/>
      <c r="AB321" s="181"/>
      <c r="AC321" s="181"/>
      <c r="AD321" s="181"/>
      <c r="AE321" s="181"/>
      <c r="AF321" s="181"/>
      <c r="AG321" s="181"/>
      <c r="AH321" s="181"/>
      <c r="AI321" s="181"/>
      <c r="AJ321" s="181"/>
      <c r="AK321" s="181"/>
      <c r="AL321" s="181"/>
      <c r="AM321" s="181"/>
      <c r="AN321" s="181">
        <f>+AN347</f>
        <v>0</v>
      </c>
      <c r="AO321" s="181">
        <f>+AO347</f>
        <v>0</v>
      </c>
    </row>
    <row r="322" spans="1:41" ht="13.5">
      <c r="A322" s="197" t="s">
        <v>379</v>
      </c>
      <c r="B322" s="181" t="e">
        <f t="array" ref="B322">SUM(IF('[5]2013-2016 Projects'!$O$4:$O$202="Renewal-260",'[5]2013-2016 Projects'!$V$4:$V$202,0))</f>
        <v>#REF!</v>
      </c>
      <c r="C322" s="181" t="e">
        <f t="array" ref="C322">SUM(IF('[5]2013-2016 Projects'!$O$4:$O$202="Renewal-260",'[5]2013-2016 Projects'!$V$4:$V$202,0))</f>
        <v>#REF!</v>
      </c>
      <c r="D322" s="181" t="e">
        <f t="array" ref="D322">SUM(IF('[5]2013-2016 Projects'!$O$4:$O$202="Renewal-260",'[5]2013-2016 Projects'!$V$4:$V$202,0))</f>
        <v>#REF!</v>
      </c>
      <c r="E322" s="181" t="e">
        <f t="array" ref="E322">SUM(IF('[5]2013-2016 Projects'!$O$4:$O$202="Renewal-260",'[5]2013-2016 Projects'!$V$4:$V$202,0))</f>
        <v>#REF!</v>
      </c>
      <c r="F322" s="181" t="e">
        <f t="array" ref="F322">SUM(IF('[5]2013-2016 Projects'!$O$4:$O$202="Renewal-260",'[5]2013-2016 Projects'!$V$4:$V$202,0))</f>
        <v>#REF!</v>
      </c>
      <c r="G322" s="181"/>
      <c r="H322" s="181">
        <f t="array" ref="H322">SUM(IF('2014-2017 Projects'!$T$5:$T$158="Renewal-260",'2014-2017 Projects'!$AK$5:$AK$158,0))</f>
        <v>0</v>
      </c>
      <c r="I322" s="181"/>
      <c r="J322" s="181"/>
      <c r="K322" s="181"/>
      <c r="L322" s="181"/>
      <c r="M322" s="181"/>
      <c r="N322" s="181"/>
      <c r="O322" s="181"/>
      <c r="P322" s="181"/>
      <c r="Q322" s="181"/>
      <c r="R322" s="181"/>
      <c r="S322" s="181"/>
      <c r="T322" s="181"/>
      <c r="U322" s="181"/>
      <c r="V322" s="181"/>
      <c r="W322" s="181"/>
      <c r="X322" s="181"/>
      <c r="Y322" s="181"/>
      <c r="Z322" s="181"/>
      <c r="AA322" s="181"/>
      <c r="AB322" s="181"/>
      <c r="AC322" s="181"/>
      <c r="AD322" s="181"/>
      <c r="AE322" s="181"/>
      <c r="AF322" s="181"/>
      <c r="AG322" s="181"/>
      <c r="AH322" s="181"/>
      <c r="AI322" s="181"/>
      <c r="AJ322" s="181"/>
      <c r="AK322" s="181"/>
      <c r="AL322" s="181"/>
      <c r="AM322" s="181"/>
      <c r="AN322" s="181">
        <f t="array" ref="AN322">SUM(IF('2014-2017 Projects'!$T$5:$T$158="Renewal-260",'2014-2017 Projects'!$CE$5:$CE$158,0))</f>
        <v>0</v>
      </c>
      <c r="AO322" s="181">
        <f t="array" ref="AO322">SUM(IF('2014-2017 Projects'!$T$5:$T$158="Renewal-260",'2014-2017 Projects'!$CF$5:$CF$158,0))</f>
        <v>0</v>
      </c>
    </row>
    <row r="323" spans="1:41" ht="13.5">
      <c r="A323" s="197" t="s">
        <v>380</v>
      </c>
      <c r="B323" s="181" t="e">
        <f t="array" ref="B323">SUM(IF('[5]2013-2016 Projects'!$O$4:$O$202="Renewal-271",'[5]2013-2016 Projects'!$V$4:$V$202,0))</f>
        <v>#REF!</v>
      </c>
      <c r="C323" s="181" t="e">
        <f t="array" ref="C323">SUM(IF('[5]2013-2016 Projects'!$O$4:$O$202="Renewal-271",'[5]2013-2016 Projects'!$V$4:$V$202,0))</f>
        <v>#REF!</v>
      </c>
      <c r="D323" s="181" t="e">
        <f t="array" ref="D323">SUM(IF('[5]2013-2016 Projects'!$O$4:$O$202="Renewal-271",'[5]2013-2016 Projects'!$V$4:$V$202,0))</f>
        <v>#REF!</v>
      </c>
      <c r="E323" s="181" t="e">
        <f t="array" ref="E323">SUM(IF('[5]2013-2016 Projects'!$O$4:$O$202="Renewal-271",'[5]2013-2016 Projects'!$V$4:$V$202,0))</f>
        <v>#REF!</v>
      </c>
      <c r="F323" s="181" t="e">
        <f t="array" ref="F323">SUM(IF('[5]2013-2016 Projects'!$O$4:$O$202="Renewal-271",'[5]2013-2016 Projects'!$V$4:$V$202,0))</f>
        <v>#REF!</v>
      </c>
      <c r="G323" s="181"/>
      <c r="H323" s="181">
        <v>0</v>
      </c>
      <c r="I323" s="181"/>
      <c r="J323" s="181"/>
      <c r="K323" s="181"/>
      <c r="L323" s="181"/>
      <c r="M323" s="181"/>
      <c r="N323" s="181"/>
      <c r="O323" s="181"/>
      <c r="P323" s="181"/>
      <c r="Q323" s="181"/>
      <c r="R323" s="181"/>
      <c r="S323" s="181"/>
      <c r="T323" s="181"/>
      <c r="U323" s="181"/>
      <c r="V323" s="181"/>
      <c r="W323" s="181"/>
      <c r="X323" s="181"/>
      <c r="Y323" s="181"/>
      <c r="Z323" s="181"/>
      <c r="AA323" s="181"/>
      <c r="AB323" s="181"/>
      <c r="AC323" s="181"/>
      <c r="AD323" s="181"/>
      <c r="AE323" s="181"/>
      <c r="AF323" s="181"/>
      <c r="AG323" s="181"/>
      <c r="AH323" s="181"/>
      <c r="AI323" s="181"/>
      <c r="AJ323" s="181"/>
      <c r="AK323" s="181"/>
      <c r="AL323" s="181"/>
      <c r="AM323" s="181"/>
      <c r="AN323" s="181">
        <v>0</v>
      </c>
      <c r="AO323" s="181">
        <v>0</v>
      </c>
    </row>
    <row r="324" spans="1:41" ht="13.5">
      <c r="A324" s="197" t="s">
        <v>381</v>
      </c>
      <c r="B324" s="181" t="e">
        <f t="array" ref="B324">SUM(IF('[5]2013-2016 Projects'!$O$4:$O$202="Renewal-270",'[5]2013-2016 Projects'!$V$4:$V$202,0))</f>
        <v>#REF!</v>
      </c>
      <c r="C324" s="181" t="e">
        <f t="array" ref="C324">SUM(IF('[5]2013-2016 Projects'!$O$4:$O$202="Renewal-270",'[5]2013-2016 Projects'!$V$4:$V$202,0))</f>
        <v>#REF!</v>
      </c>
      <c r="D324" s="181" t="e">
        <f t="array" ref="D324">SUM(IF('[5]2013-2016 Projects'!$O$4:$O$202="Renewal-270",'[5]2013-2016 Projects'!$V$4:$V$202,0))</f>
        <v>#REF!</v>
      </c>
      <c r="E324" s="181" t="e">
        <f t="array" ref="E324">SUM(IF('[5]2013-2016 Projects'!$O$4:$O$202="Renewal-270",'[5]2013-2016 Projects'!$V$4:$V$202,0))</f>
        <v>#REF!</v>
      </c>
      <c r="F324" s="181" t="e">
        <f t="array" ref="F324">SUM(IF('[5]2013-2016 Projects'!$O$4:$O$202="Renewal-270",'[5]2013-2016 Projects'!$V$4:$V$202,0))</f>
        <v>#REF!</v>
      </c>
      <c r="G324" s="181"/>
      <c r="H324" s="181">
        <f t="array" ref="H324">SUM(IF('2014-2017 Projects'!$T$5:$T$158="Renewal-270",'2014-2017 Projects'!$AK$5:$AK$158,0))</f>
        <v>0</v>
      </c>
      <c r="I324" s="181"/>
      <c r="J324" s="181"/>
      <c r="K324" s="181"/>
      <c r="L324" s="181"/>
      <c r="M324" s="181"/>
      <c r="N324" s="181"/>
      <c r="O324" s="181"/>
      <c r="P324" s="181"/>
      <c r="Q324" s="181"/>
      <c r="R324" s="181"/>
      <c r="S324" s="181"/>
      <c r="T324" s="181"/>
      <c r="U324" s="181"/>
      <c r="V324" s="181"/>
      <c r="W324" s="181"/>
      <c r="X324" s="181"/>
      <c r="Y324" s="181"/>
      <c r="Z324" s="181"/>
      <c r="AA324" s="181"/>
      <c r="AB324" s="181"/>
      <c r="AC324" s="181"/>
      <c r="AD324" s="181"/>
      <c r="AE324" s="181"/>
      <c r="AF324" s="181"/>
      <c r="AG324" s="181"/>
      <c r="AH324" s="181"/>
      <c r="AI324" s="181"/>
      <c r="AJ324" s="181"/>
      <c r="AK324" s="181"/>
      <c r="AL324" s="181"/>
      <c r="AM324" s="181"/>
      <c r="AN324" s="181">
        <f t="array" ref="AN324">SUM(IF('2014-2017 Projects'!$T$5:$T$158="Renewal-270",'2014-2017 Projects'!$CE$5:$CE$158,0))</f>
        <v>0</v>
      </c>
      <c r="AO324" s="181">
        <f t="array" ref="AO324">SUM(IF('2014-2017 Projects'!$T$5:$T$158="Renewal-270",'2014-2017 Projects'!$CF$5:$CF$158,0))</f>
        <v>0</v>
      </c>
    </row>
    <row r="325" spans="1:41" ht="13.5">
      <c r="A325" s="197" t="s">
        <v>382</v>
      </c>
      <c r="B325" s="182"/>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c r="AA325" s="182"/>
      <c r="AB325" s="182"/>
      <c r="AC325" s="182"/>
      <c r="AD325" s="182"/>
      <c r="AE325" s="182"/>
      <c r="AF325" s="182"/>
      <c r="AG325" s="182"/>
      <c r="AH325" s="182"/>
      <c r="AI325" s="182"/>
      <c r="AJ325" s="182"/>
      <c r="AK325" s="182"/>
      <c r="AL325" s="182"/>
      <c r="AM325" s="182"/>
      <c r="AN325" s="182"/>
      <c r="AO325" s="182"/>
    </row>
    <row r="326" spans="1:41" ht="13.5">
      <c r="A326" s="197" t="s">
        <v>383</v>
      </c>
      <c r="B326" s="181" t="e">
        <f t="array" ref="B326">SUM(IF('[5]2013-2016 Projects'!$O$4:$O$202="Renewal-290",'[5]2013-2016 Projects'!$V$4:$V$202,0))</f>
        <v>#REF!</v>
      </c>
      <c r="C326" s="181" t="e">
        <f t="array" ref="C326">SUM(IF('[5]2013-2016 Projects'!$O$4:$O$202="Renewal-290",'[5]2013-2016 Projects'!$V$4:$V$202,0))</f>
        <v>#REF!</v>
      </c>
      <c r="D326" s="181" t="e">
        <f t="array" ref="D326">SUM(IF('[5]2013-2016 Projects'!$O$4:$O$202="Renewal-290",'[5]2013-2016 Projects'!$V$4:$V$202,0))</f>
        <v>#REF!</v>
      </c>
      <c r="E326" s="181" t="e">
        <f t="array" ref="E326">SUM(IF('[5]2013-2016 Projects'!$O$4:$O$202="Renewal-290",'[5]2013-2016 Projects'!$V$4:$V$202,0))</f>
        <v>#REF!</v>
      </c>
      <c r="F326" s="181" t="e">
        <f t="array" ref="F326">SUM(IF('[5]2013-2016 Projects'!$O$4:$O$202="Renewal-290",'[5]2013-2016 Projects'!$V$4:$V$202,0))</f>
        <v>#REF!</v>
      </c>
      <c r="G326" s="181"/>
      <c r="H326" s="181">
        <f t="array" ref="H326">SUM(IF('2014-2017 Projects'!$T$5:$T$158="Renewal-290",'2014-2017 Projects'!$AK$5:$AK$158,0))</f>
        <v>0</v>
      </c>
      <c r="I326" s="181"/>
      <c r="J326" s="181"/>
      <c r="K326" s="181"/>
      <c r="L326" s="181"/>
      <c r="M326" s="181"/>
      <c r="N326" s="181"/>
      <c r="O326" s="181"/>
      <c r="P326" s="181"/>
      <c r="Q326" s="181"/>
      <c r="R326" s="181"/>
      <c r="S326" s="181"/>
      <c r="T326" s="181"/>
      <c r="U326" s="181"/>
      <c r="V326" s="181"/>
      <c r="W326" s="181"/>
      <c r="X326" s="181"/>
      <c r="Y326" s="181"/>
      <c r="Z326" s="181"/>
      <c r="AA326" s="181"/>
      <c r="AB326" s="181"/>
      <c r="AC326" s="181"/>
      <c r="AD326" s="181"/>
      <c r="AE326" s="181"/>
      <c r="AF326" s="181"/>
      <c r="AG326" s="181"/>
      <c r="AH326" s="181"/>
      <c r="AI326" s="181"/>
      <c r="AJ326" s="181"/>
      <c r="AK326" s="181"/>
      <c r="AL326" s="181"/>
      <c r="AM326" s="181"/>
      <c r="AN326" s="181">
        <f t="array" ref="AN326">SUM(IF('2014-2017 Projects'!$T$5:$T$158="Renewal-290",'2014-2017 Projects'!$CE$5:$CE$158,0))</f>
        <v>0</v>
      </c>
      <c r="AO326" s="181">
        <f t="array" ref="AO326">SUM(IF('2014-2017 Projects'!$T$5:$T$158="Renewal-290",'2014-2017 Projects'!$CF$5:$CF$158,0))</f>
        <v>0</v>
      </c>
    </row>
    <row r="327" spans="1:41" ht="13.5">
      <c r="A327" s="197" t="s">
        <v>384</v>
      </c>
      <c r="B327" s="181" t="e">
        <f t="array" ref="B327">SUM(IF('[5]2013-2016 Projects'!$O$4:$O$202="Renewal-312",'[5]2013-2016 Projects'!$V$4:$V$202,0))</f>
        <v>#REF!</v>
      </c>
      <c r="C327" s="181" t="e">
        <f t="array" ref="C327">SUM(IF('[5]2013-2016 Projects'!$O$4:$O$202="Renewal-312",'[5]2013-2016 Projects'!$V$4:$V$202,0))</f>
        <v>#REF!</v>
      </c>
      <c r="D327" s="181" t="e">
        <f t="array" ref="D327">SUM(IF('[5]2013-2016 Projects'!$O$4:$O$202="Renewal-312",'[5]2013-2016 Projects'!$V$4:$V$202,0))</f>
        <v>#REF!</v>
      </c>
      <c r="E327" s="181" t="e">
        <f t="array" ref="E327">SUM(IF('[5]2013-2016 Projects'!$O$4:$O$202="Renewal-312",'[5]2013-2016 Projects'!$V$4:$V$202,0))</f>
        <v>#REF!</v>
      </c>
      <c r="F327" s="181" t="e">
        <f t="array" ref="F327">SUM(IF('[5]2013-2016 Projects'!$O$4:$O$202="Renewal-312",'[5]2013-2016 Projects'!$V$4:$V$202,0))</f>
        <v>#REF!</v>
      </c>
      <c r="G327" s="181"/>
      <c r="H327" s="181">
        <f t="array" ref="H327">SUM(IF('2014-2017 Projects'!$T$5:$T$158="Renewal-312",'2014-2017 Projects'!$AK$5:$AK$158,0))</f>
        <v>20395288</v>
      </c>
      <c r="I327" s="181"/>
      <c r="J327" s="181"/>
      <c r="K327" s="181"/>
      <c r="L327" s="181"/>
      <c r="M327" s="181"/>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f t="array" ref="AN327">SUM(IF('2014-2017 Projects'!$T$5:$T$158="Renewal-312",'2014-2017 Projects'!$CE$5:$CE$158,0))</f>
        <v>17720661</v>
      </c>
      <c r="AO327" s="181">
        <f t="array" ref="AO327">SUM(IF('2014-2017 Projects'!$T$5:$T$158="Renewal-312",'2014-2017 Projects'!$CF$5:$CF$158,0))</f>
        <v>21655051</v>
      </c>
    </row>
    <row r="328" spans="1:41" ht="13.5">
      <c r="A328" s="197" t="s">
        <v>385</v>
      </c>
      <c r="B328" s="182"/>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c r="AA328" s="182"/>
      <c r="AB328" s="182"/>
      <c r="AC328" s="182"/>
      <c r="AD328" s="182"/>
      <c r="AE328" s="182"/>
      <c r="AF328" s="182"/>
      <c r="AG328" s="182"/>
      <c r="AH328" s="182"/>
      <c r="AI328" s="182"/>
      <c r="AJ328" s="182"/>
      <c r="AK328" s="182"/>
      <c r="AL328" s="182"/>
      <c r="AM328" s="182"/>
      <c r="AN328" s="182"/>
      <c r="AO328" s="182"/>
    </row>
    <row r="329" spans="1:41" ht="13.5">
      <c r="A329" s="197" t="s">
        <v>386</v>
      </c>
      <c r="B329" s="182"/>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c r="AA329" s="182"/>
      <c r="AB329" s="182"/>
      <c r="AC329" s="182"/>
      <c r="AD329" s="182"/>
      <c r="AE329" s="182"/>
      <c r="AF329" s="182"/>
      <c r="AG329" s="182"/>
      <c r="AH329" s="182"/>
      <c r="AI329" s="182"/>
      <c r="AJ329" s="182"/>
      <c r="AK329" s="182"/>
      <c r="AL329" s="182"/>
      <c r="AM329" s="182"/>
      <c r="AN329" s="182"/>
      <c r="AO329" s="182"/>
    </row>
    <row r="330" spans="1:41" ht="13.5">
      <c r="A330" s="197" t="s">
        <v>387</v>
      </c>
      <c r="B330" s="182"/>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c r="AA330" s="182"/>
      <c r="AB330" s="182"/>
      <c r="AC330" s="182"/>
      <c r="AD330" s="182"/>
      <c r="AE330" s="182"/>
      <c r="AF330" s="182"/>
      <c r="AG330" s="182"/>
      <c r="AH330" s="182"/>
      <c r="AI330" s="182"/>
      <c r="AJ330" s="182"/>
      <c r="AK330" s="182"/>
      <c r="AL330" s="182"/>
      <c r="AM330" s="182"/>
      <c r="AN330" s="182"/>
      <c r="AO330" s="182"/>
    </row>
    <row r="331" spans="1:41" ht="13.5">
      <c r="A331" s="198" t="s">
        <v>36</v>
      </c>
      <c r="B331" s="181" t="e">
        <f t="array" ref="B331">SUM(IF('[5]2013-2016 Projects'!$O$4:$O$202="Renewal-320",'[5]2013-2016 Projects'!$V$4:$V$202,0))</f>
        <v>#REF!</v>
      </c>
      <c r="C331" s="181" t="e">
        <f t="array" ref="C331">SUM(IF('[5]2013-2016 Projects'!$O$4:$O$202="Renewal-320",'[5]2013-2016 Projects'!$V$4:$V$202,0))</f>
        <v>#REF!</v>
      </c>
      <c r="D331" s="181" t="e">
        <f t="array" ref="D331">SUM(IF('[5]2013-2016 Projects'!$O$4:$O$202="Renewal-320",'[5]2013-2016 Projects'!$V$4:$V$202,0))</f>
        <v>#REF!</v>
      </c>
      <c r="E331" s="181" t="e">
        <f t="array" ref="E331">SUM(IF('[5]2013-2016 Projects'!$O$4:$O$202="Renewal-320",'[5]2013-2016 Projects'!$V$4:$V$202,0))</f>
        <v>#REF!</v>
      </c>
      <c r="F331" s="181" t="e">
        <f t="array" ref="F331">SUM(IF('[5]2013-2016 Projects'!$O$4:$O$202="Renewal-320",'[5]2013-2016 Projects'!$V$4:$V$202,0))</f>
        <v>#REF!</v>
      </c>
      <c r="G331" s="181"/>
      <c r="H331" s="181">
        <f t="array" ref="H331">SUM(IF('2014-2017 Projects'!$T$5:$T$158="Renewal-320",'2014-2017 Projects'!$AK$5:$AK$158,0))</f>
        <v>0</v>
      </c>
      <c r="I331" s="181"/>
      <c r="J331" s="181"/>
      <c r="K331" s="181"/>
      <c r="L331" s="181"/>
      <c r="M331" s="181"/>
      <c r="N331" s="181"/>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f t="array" ref="AN331">SUM(IF('2014-2017 Projects'!$T$5:$T$158="Renewal-320",'2014-2017 Projects'!$CE$5:$CE$158,0))</f>
        <v>0</v>
      </c>
      <c r="AO331" s="181">
        <f t="array" ref="AO331">SUM(IF('2014-2017 Projects'!$T$5:$T$158="Renewal-320",'2014-2017 Projects'!$CF$5:$CF$158,0))</f>
        <v>0</v>
      </c>
    </row>
    <row r="332" spans="1:41" ht="13.5">
      <c r="A332" s="210"/>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177"/>
      <c r="X332" s="177"/>
      <c r="Y332" s="177"/>
      <c r="Z332" s="177"/>
      <c r="AA332" s="177"/>
      <c r="AB332" s="177"/>
      <c r="AC332" s="177"/>
      <c r="AD332" s="177"/>
      <c r="AE332" s="177"/>
      <c r="AF332" s="177"/>
      <c r="AG332" s="177"/>
      <c r="AH332" s="177"/>
      <c r="AI332" s="177"/>
      <c r="AJ332" s="177"/>
      <c r="AK332" s="177"/>
      <c r="AL332" s="177"/>
      <c r="AM332" s="177"/>
      <c r="AN332" s="177"/>
      <c r="AO332" s="177"/>
    </row>
    <row r="333" spans="1:41" ht="13.5">
      <c r="A333" s="205" t="s">
        <v>388</v>
      </c>
      <c r="B333" s="177">
        <f>SUM(B334:B335)</f>
        <v>0</v>
      </c>
      <c r="C333" s="177">
        <f>SUM(C334:C335)</f>
        <v>0</v>
      </c>
      <c r="D333" s="177">
        <f>SUM(D334:D335)</f>
        <v>0</v>
      </c>
      <c r="E333" s="177">
        <f>SUM(E334:E335)</f>
        <v>0</v>
      </c>
      <c r="F333" s="177">
        <f>SUM(F334:F335)</f>
        <v>0</v>
      </c>
      <c r="G333" s="177"/>
      <c r="H333" s="177">
        <f>SUM(H334:H335)</f>
        <v>0</v>
      </c>
      <c r="I333" s="177"/>
      <c r="J333" s="177"/>
      <c r="K333" s="177"/>
      <c r="L333" s="177"/>
      <c r="M333" s="177"/>
      <c r="N333" s="177"/>
      <c r="O333" s="177"/>
      <c r="P333" s="177"/>
      <c r="Q333" s="177"/>
      <c r="R333" s="177"/>
      <c r="S333" s="177"/>
      <c r="T333" s="177"/>
      <c r="U333" s="177"/>
      <c r="V333" s="177"/>
      <c r="W333" s="177"/>
      <c r="X333" s="177"/>
      <c r="Y333" s="177"/>
      <c r="Z333" s="177"/>
      <c r="AA333" s="177"/>
      <c r="AB333" s="177"/>
      <c r="AC333" s="177"/>
      <c r="AD333" s="177"/>
      <c r="AE333" s="177"/>
      <c r="AF333" s="177"/>
      <c r="AG333" s="177"/>
      <c r="AH333" s="177"/>
      <c r="AI333" s="177"/>
      <c r="AJ333" s="177"/>
      <c r="AK333" s="177"/>
      <c r="AL333" s="177"/>
      <c r="AM333" s="177"/>
      <c r="AN333" s="177">
        <f>SUM(AN334:AN335)</f>
        <v>0</v>
      </c>
      <c r="AO333" s="177">
        <f>SUM(AO334:AO335)</f>
        <v>0</v>
      </c>
    </row>
    <row r="334" spans="1:41" ht="13.5">
      <c r="A334" s="216" t="s">
        <v>389</v>
      </c>
      <c r="B334" s="217"/>
      <c r="C334" s="217"/>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c r="AA334" s="217"/>
      <c r="AB334" s="217"/>
      <c r="AC334" s="217"/>
      <c r="AD334" s="217"/>
      <c r="AE334" s="217"/>
      <c r="AF334" s="217"/>
      <c r="AG334" s="217"/>
      <c r="AH334" s="217"/>
      <c r="AI334" s="217"/>
      <c r="AJ334" s="217"/>
      <c r="AK334" s="217"/>
      <c r="AL334" s="217"/>
      <c r="AM334" s="217"/>
      <c r="AN334" s="217"/>
      <c r="AO334" s="217"/>
    </row>
    <row r="335" spans="1:41" ht="13.5">
      <c r="A335" s="216"/>
      <c r="B335" s="215"/>
      <c r="C335" s="215"/>
      <c r="D335" s="215"/>
      <c r="E335" s="215"/>
      <c r="F335" s="215"/>
      <c r="G335" s="215"/>
      <c r="H335" s="215"/>
      <c r="I335" s="215"/>
      <c r="J335" s="215"/>
      <c r="K335" s="215"/>
      <c r="L335" s="215"/>
      <c r="M335" s="215"/>
      <c r="N335" s="215"/>
      <c r="O335" s="215"/>
      <c r="P335" s="215"/>
      <c r="Q335" s="215"/>
      <c r="R335" s="215"/>
      <c r="S335" s="215"/>
      <c r="T335" s="215"/>
      <c r="U335" s="215"/>
      <c r="V335" s="215"/>
      <c r="W335" s="215"/>
      <c r="X335" s="215"/>
      <c r="Y335" s="215"/>
      <c r="Z335" s="215"/>
      <c r="AA335" s="215"/>
      <c r="AB335" s="215"/>
      <c r="AC335" s="215"/>
      <c r="AD335" s="215"/>
      <c r="AE335" s="215"/>
      <c r="AF335" s="215"/>
      <c r="AG335" s="215"/>
      <c r="AH335" s="215"/>
      <c r="AI335" s="215"/>
      <c r="AJ335" s="215"/>
      <c r="AK335" s="215"/>
      <c r="AL335" s="215"/>
      <c r="AM335" s="215"/>
      <c r="AN335" s="215"/>
      <c r="AO335" s="215"/>
    </row>
    <row r="336" spans="1:41" ht="13.5">
      <c r="A336" s="210"/>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c r="AA336" s="177"/>
      <c r="AB336" s="177"/>
      <c r="AC336" s="177"/>
      <c r="AD336" s="177"/>
      <c r="AE336" s="177"/>
      <c r="AF336" s="177"/>
      <c r="AG336" s="177"/>
      <c r="AH336" s="177"/>
      <c r="AI336" s="177"/>
      <c r="AJ336" s="177"/>
      <c r="AK336" s="177"/>
      <c r="AL336" s="177"/>
      <c r="AM336" s="177"/>
      <c r="AN336" s="177"/>
      <c r="AO336" s="177"/>
    </row>
    <row r="337" spans="1:47" ht="13.5">
      <c r="A337" s="205" t="s">
        <v>344</v>
      </c>
      <c r="B337" s="177">
        <f>SUM(B338:B339)</f>
        <v>0</v>
      </c>
      <c r="C337" s="177">
        <f>SUM(C338:C339)</f>
        <v>0</v>
      </c>
      <c r="D337" s="177">
        <f>SUM(D338:D339)</f>
        <v>0</v>
      </c>
      <c r="E337" s="177">
        <f>SUM(E338:E339)</f>
        <v>0</v>
      </c>
      <c r="F337" s="177">
        <f>SUM(F338:F339)</f>
        <v>0</v>
      </c>
      <c r="G337" s="177"/>
      <c r="H337" s="177">
        <f>SUM(H338:H339)</f>
        <v>0</v>
      </c>
      <c r="I337" s="177"/>
      <c r="J337" s="177"/>
      <c r="K337" s="177"/>
      <c r="L337" s="177"/>
      <c r="M337" s="177"/>
      <c r="N337" s="177"/>
      <c r="O337" s="177"/>
      <c r="P337" s="177"/>
      <c r="Q337" s="177"/>
      <c r="R337" s="177"/>
      <c r="S337" s="177"/>
      <c r="T337" s="177"/>
      <c r="U337" s="177"/>
      <c r="V337" s="177"/>
      <c r="W337" s="177"/>
      <c r="X337" s="177"/>
      <c r="Y337" s="177"/>
      <c r="Z337" s="177"/>
      <c r="AA337" s="177"/>
      <c r="AB337" s="177"/>
      <c r="AC337" s="177"/>
      <c r="AD337" s="177"/>
      <c r="AE337" s="177"/>
      <c r="AF337" s="177"/>
      <c r="AG337" s="177"/>
      <c r="AH337" s="177"/>
      <c r="AI337" s="177"/>
      <c r="AJ337" s="177"/>
      <c r="AK337" s="177"/>
      <c r="AL337" s="177"/>
      <c r="AM337" s="177"/>
      <c r="AN337" s="177">
        <f>SUM(AN338:AN339)</f>
        <v>0</v>
      </c>
      <c r="AO337" s="177">
        <f>SUM(AO338:AO339)</f>
        <v>0</v>
      </c>
    </row>
    <row r="338" spans="1:47" ht="13.5">
      <c r="A338" s="216" t="s">
        <v>389</v>
      </c>
      <c r="B338" s="217"/>
      <c r="C338" s="217"/>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c r="AA338" s="217"/>
      <c r="AB338" s="217"/>
      <c r="AC338" s="217"/>
      <c r="AD338" s="217"/>
      <c r="AE338" s="217"/>
      <c r="AF338" s="217"/>
      <c r="AG338" s="217"/>
      <c r="AH338" s="217"/>
      <c r="AI338" s="217"/>
      <c r="AJ338" s="217"/>
      <c r="AK338" s="217"/>
      <c r="AL338" s="217"/>
      <c r="AM338" s="217"/>
      <c r="AN338" s="217"/>
      <c r="AO338" s="217"/>
    </row>
    <row r="339" spans="1:47" ht="13.5">
      <c r="A339" s="216"/>
      <c r="B339" s="215"/>
      <c r="C339" s="215"/>
      <c r="D339" s="215"/>
      <c r="E339" s="215"/>
      <c r="F339" s="215"/>
      <c r="G339" s="215"/>
      <c r="H339" s="215"/>
      <c r="I339" s="215"/>
      <c r="J339" s="215"/>
      <c r="K339" s="215"/>
      <c r="L339" s="215"/>
      <c r="M339" s="215"/>
      <c r="N339" s="215"/>
      <c r="O339" s="215"/>
      <c r="P339" s="215"/>
      <c r="Q339" s="215"/>
      <c r="R339" s="215"/>
      <c r="S339" s="215"/>
      <c r="T339" s="215"/>
      <c r="U339" s="215"/>
      <c r="V339" s="215"/>
      <c r="W339" s="215"/>
      <c r="X339" s="215"/>
      <c r="Y339" s="215"/>
      <c r="Z339" s="215"/>
      <c r="AA339" s="215"/>
      <c r="AB339" s="215"/>
      <c r="AC339" s="215"/>
      <c r="AD339" s="215"/>
      <c r="AE339" s="215"/>
      <c r="AF339" s="215"/>
      <c r="AG339" s="215"/>
      <c r="AH339" s="215"/>
      <c r="AI339" s="215"/>
      <c r="AJ339" s="215"/>
      <c r="AK339" s="215"/>
      <c r="AL339" s="215"/>
      <c r="AM339" s="215"/>
      <c r="AN339" s="215"/>
      <c r="AO339" s="215"/>
    </row>
    <row r="340" spans="1:47" ht="13.5">
      <c r="A340" s="210"/>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c r="AA340" s="177"/>
      <c r="AB340" s="177"/>
      <c r="AC340" s="177"/>
      <c r="AD340" s="177"/>
      <c r="AE340" s="177"/>
      <c r="AF340" s="177"/>
      <c r="AG340" s="177"/>
      <c r="AH340" s="177"/>
      <c r="AI340" s="177"/>
      <c r="AJ340" s="177"/>
      <c r="AK340" s="177"/>
      <c r="AL340" s="177"/>
      <c r="AM340" s="177"/>
      <c r="AN340" s="177"/>
      <c r="AO340" s="177"/>
    </row>
    <row r="341" spans="1:47" ht="13.5">
      <c r="A341" s="205" t="s">
        <v>345</v>
      </c>
      <c r="B341" s="177">
        <f>SUM(B342:B343)</f>
        <v>0</v>
      </c>
      <c r="C341" s="177">
        <f>SUM(C342:C343)</f>
        <v>0</v>
      </c>
      <c r="D341" s="177">
        <f>SUM(D342:D343)</f>
        <v>0</v>
      </c>
      <c r="E341" s="177">
        <f>SUM(E342:E343)</f>
        <v>0</v>
      </c>
      <c r="F341" s="177">
        <f>SUM(F342:F343)</f>
        <v>0</v>
      </c>
      <c r="G341" s="177"/>
      <c r="H341" s="177">
        <f>SUM(H342:H343)</f>
        <v>0</v>
      </c>
      <c r="I341" s="177"/>
      <c r="J341" s="177"/>
      <c r="K341" s="177"/>
      <c r="L341" s="177"/>
      <c r="M341" s="177"/>
      <c r="N341" s="177"/>
      <c r="O341" s="177"/>
      <c r="P341" s="177"/>
      <c r="Q341" s="177"/>
      <c r="R341" s="177"/>
      <c r="S341" s="177"/>
      <c r="T341" s="177"/>
      <c r="U341" s="177"/>
      <c r="V341" s="177"/>
      <c r="W341" s="177"/>
      <c r="X341" s="177"/>
      <c r="Y341" s="177"/>
      <c r="Z341" s="177"/>
      <c r="AA341" s="177"/>
      <c r="AB341" s="177"/>
      <c r="AC341" s="177"/>
      <c r="AD341" s="177"/>
      <c r="AE341" s="177"/>
      <c r="AF341" s="177"/>
      <c r="AG341" s="177"/>
      <c r="AH341" s="177"/>
      <c r="AI341" s="177"/>
      <c r="AJ341" s="177"/>
      <c r="AK341" s="177"/>
      <c r="AL341" s="177"/>
      <c r="AM341" s="177"/>
      <c r="AN341" s="177">
        <f>SUM(AN342:AN343)</f>
        <v>0</v>
      </c>
      <c r="AO341" s="177">
        <f>SUM(AO342:AO343)</f>
        <v>0</v>
      </c>
    </row>
    <row r="342" spans="1:47" ht="13.5">
      <c r="A342" s="197" t="s">
        <v>390</v>
      </c>
      <c r="B342" s="217"/>
      <c r="C342" s="217"/>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7"/>
      <c r="AM342" s="217"/>
      <c r="AN342" s="217"/>
      <c r="AO342" s="217"/>
    </row>
    <row r="343" spans="1:47" ht="13.5">
      <c r="A343" s="216" t="s">
        <v>391</v>
      </c>
      <c r="B343" s="215"/>
      <c r="C343" s="215"/>
      <c r="D343" s="215"/>
      <c r="E343" s="215"/>
      <c r="F343" s="215"/>
      <c r="G343" s="215"/>
      <c r="H343" s="215"/>
      <c r="I343" s="215"/>
      <c r="J343" s="215"/>
      <c r="K343" s="215"/>
      <c r="L343" s="215"/>
      <c r="M343" s="215"/>
      <c r="N343" s="215"/>
      <c r="O343" s="215"/>
      <c r="P343" s="215"/>
      <c r="Q343" s="215"/>
      <c r="R343" s="215"/>
      <c r="S343" s="215"/>
      <c r="T343" s="215"/>
      <c r="U343" s="215"/>
      <c r="V343" s="215"/>
      <c r="W343" s="215"/>
      <c r="X343" s="215"/>
      <c r="Y343" s="215"/>
      <c r="Z343" s="215"/>
      <c r="AA343" s="215"/>
      <c r="AB343" s="215"/>
      <c r="AC343" s="215"/>
      <c r="AD343" s="215"/>
      <c r="AE343" s="215"/>
      <c r="AF343" s="215"/>
      <c r="AG343" s="215"/>
      <c r="AH343" s="215"/>
      <c r="AI343" s="215"/>
      <c r="AJ343" s="215"/>
      <c r="AK343" s="215"/>
      <c r="AL343" s="215"/>
      <c r="AM343" s="215"/>
      <c r="AN343" s="215"/>
      <c r="AO343" s="215"/>
    </row>
    <row r="344" spans="1:47" ht="13.5">
      <c r="A344" s="210"/>
      <c r="B344" s="186"/>
      <c r="C344" s="186"/>
      <c r="D344" s="186"/>
      <c r="E344" s="186"/>
      <c r="F344" s="186"/>
      <c r="G344" s="186"/>
      <c r="H344" s="186"/>
      <c r="I344" s="186"/>
      <c r="J344" s="186"/>
      <c r="K344" s="186"/>
      <c r="L344" s="186"/>
      <c r="M344" s="186"/>
      <c r="N344" s="186"/>
      <c r="O344" s="186"/>
      <c r="P344" s="186"/>
      <c r="Q344" s="186"/>
      <c r="R344" s="186"/>
      <c r="S344" s="186"/>
      <c r="T344" s="186"/>
      <c r="U344" s="186"/>
      <c r="V344" s="186"/>
      <c r="W344" s="186"/>
      <c r="X344" s="186"/>
      <c r="Y344" s="186"/>
      <c r="Z344" s="186"/>
      <c r="AA344" s="186"/>
      <c r="AB344" s="186"/>
      <c r="AC344" s="186"/>
      <c r="AD344" s="186"/>
      <c r="AE344" s="186"/>
      <c r="AF344" s="186"/>
      <c r="AG344" s="186"/>
      <c r="AH344" s="186"/>
      <c r="AI344" s="186"/>
      <c r="AJ344" s="186"/>
      <c r="AK344" s="186"/>
      <c r="AL344" s="186"/>
      <c r="AM344" s="186"/>
      <c r="AN344" s="186"/>
      <c r="AO344" s="186"/>
    </row>
    <row r="345" spans="1:47" ht="13.5">
      <c r="A345" s="218" t="s">
        <v>398</v>
      </c>
      <c r="B345" s="195" t="e">
        <f>B274+B295+B311+B315+B319+B341+B333+B337</f>
        <v>#REF!</v>
      </c>
      <c r="C345" s="195" t="e">
        <f>C274+C295+C311+C315+C319+C341+C333+C337</f>
        <v>#REF!</v>
      </c>
      <c r="D345" s="195" t="e">
        <f>D274+D295+D311+D315+D319+D341+D333+D337</f>
        <v>#REF!</v>
      </c>
      <c r="E345" s="195" t="e">
        <f>E274+E295+E311+E315+E319+E341+E333+E337</f>
        <v>#REF!</v>
      </c>
      <c r="F345" s="195" t="e">
        <f>F274+F295+F311+F315+F319+F341+F333+F337</f>
        <v>#REF!</v>
      </c>
      <c r="G345" s="195"/>
      <c r="H345" s="195">
        <f>H274+H295+H311+H315+H319+H341+H333+H337</f>
        <v>539821315</v>
      </c>
      <c r="I345" s="195"/>
      <c r="J345" s="195"/>
      <c r="K345" s="195"/>
      <c r="L345" s="195"/>
      <c r="M345" s="195"/>
      <c r="N345" s="195"/>
      <c r="O345" s="195"/>
      <c r="P345" s="195"/>
      <c r="Q345" s="195"/>
      <c r="R345" s="195"/>
      <c r="S345" s="195"/>
      <c r="T345" s="195"/>
      <c r="U345" s="195"/>
      <c r="V345" s="195"/>
      <c r="W345" s="195"/>
      <c r="X345" s="195"/>
      <c r="Y345" s="195"/>
      <c r="Z345" s="195"/>
      <c r="AA345" s="195"/>
      <c r="AB345" s="195"/>
      <c r="AC345" s="195"/>
      <c r="AD345" s="195"/>
      <c r="AE345" s="195"/>
      <c r="AF345" s="195"/>
      <c r="AG345" s="195"/>
      <c r="AH345" s="195"/>
      <c r="AI345" s="195"/>
      <c r="AJ345" s="195"/>
      <c r="AK345" s="195"/>
      <c r="AL345" s="195"/>
      <c r="AM345" s="195"/>
      <c r="AN345" s="195">
        <f>AN274+AN295+AN311+AN315+AN319+AN341+AN333+AN337</f>
        <v>547470661</v>
      </c>
      <c r="AO345" s="195">
        <f>AO274+AO295+AO311+AO315+AO319+AO341+AO333+AO337</f>
        <v>477405051</v>
      </c>
      <c r="AT345" s="331">
        <f>+H345+H262</f>
        <v>942007423</v>
      </c>
      <c r="AU345" s="361">
        <f>+AT345-H16</f>
        <v>0</v>
      </c>
    </row>
    <row r="346" spans="1:47" ht="13.5">
      <c r="A346" s="219"/>
      <c r="B346" s="187"/>
      <c r="C346" s="187"/>
      <c r="D346" s="187"/>
      <c r="E346" s="187"/>
      <c r="F346" s="187"/>
      <c r="G346" s="187"/>
      <c r="H346" s="187"/>
      <c r="I346" s="187"/>
      <c r="J346" s="187"/>
      <c r="K346" s="187"/>
      <c r="L346" s="187"/>
      <c r="M346" s="187"/>
      <c r="N346" s="187"/>
      <c r="O346" s="187"/>
      <c r="P346" s="187"/>
      <c r="Q346" s="187"/>
      <c r="R346" s="187"/>
      <c r="S346" s="187"/>
      <c r="T346" s="187"/>
      <c r="U346" s="187"/>
      <c r="V346" s="187"/>
      <c r="W346" s="187"/>
      <c r="X346" s="187"/>
      <c r="Y346" s="187"/>
      <c r="Z346" s="187"/>
      <c r="AA346" s="187"/>
      <c r="AB346" s="187"/>
      <c r="AC346" s="187"/>
      <c r="AD346" s="187"/>
      <c r="AE346" s="187"/>
      <c r="AF346" s="187"/>
      <c r="AG346" s="187"/>
      <c r="AH346" s="187"/>
      <c r="AI346" s="187"/>
      <c r="AJ346" s="187"/>
      <c r="AK346" s="187"/>
      <c r="AL346" s="187"/>
      <c r="AM346" s="187"/>
      <c r="AN346" s="187"/>
      <c r="AO346" s="187"/>
    </row>
    <row r="347" spans="1:47" ht="13.5">
      <c r="A347" s="220" t="s">
        <v>378</v>
      </c>
      <c r="B347" s="310">
        <f>SUM(B348:B351)</f>
        <v>0</v>
      </c>
      <c r="C347" s="310">
        <f>SUM(C348:C351)</f>
        <v>0</v>
      </c>
      <c r="D347" s="310">
        <f>SUM(D348:D351)</f>
        <v>0</v>
      </c>
      <c r="E347" s="310">
        <f>SUM(E348:E351)</f>
        <v>0</v>
      </c>
      <c r="F347" s="310">
        <f>SUM(F348:F351)</f>
        <v>0</v>
      </c>
      <c r="G347" s="221"/>
      <c r="H347" s="222">
        <f>SUM(H348:H351)</f>
        <v>0</v>
      </c>
      <c r="I347" s="222"/>
      <c r="J347" s="222"/>
      <c r="K347" s="222"/>
      <c r="L347" s="222"/>
      <c r="M347" s="222"/>
      <c r="N347" s="222"/>
      <c r="O347" s="222"/>
      <c r="P347" s="222"/>
      <c r="Q347" s="222"/>
      <c r="R347" s="222"/>
      <c r="S347" s="222"/>
      <c r="T347" s="222"/>
      <c r="U347" s="222"/>
      <c r="V347" s="222"/>
      <c r="W347" s="222"/>
      <c r="X347" s="222"/>
      <c r="Y347" s="222"/>
      <c r="Z347" s="222"/>
      <c r="AA347" s="222"/>
      <c r="AB347" s="222"/>
      <c r="AC347" s="222"/>
      <c r="AD347" s="222"/>
      <c r="AE347" s="222"/>
      <c r="AF347" s="222"/>
      <c r="AG347" s="222"/>
      <c r="AH347" s="222"/>
      <c r="AI347" s="222"/>
      <c r="AJ347" s="222"/>
      <c r="AK347" s="222"/>
      <c r="AL347" s="222"/>
      <c r="AM347" s="222"/>
      <c r="AN347" s="222">
        <f>SUM(AN348:AN351)</f>
        <v>0</v>
      </c>
      <c r="AO347" s="222">
        <f>SUM(AO348:AO351)</f>
        <v>0</v>
      </c>
    </row>
    <row r="348" spans="1:47" ht="13.5">
      <c r="A348" s="200" t="s">
        <v>6</v>
      </c>
      <c r="B348" s="311"/>
      <c r="C348" s="311"/>
      <c r="D348" s="311"/>
      <c r="E348" s="311"/>
      <c r="F348" s="311"/>
      <c r="G348" s="223"/>
      <c r="H348" s="181">
        <f t="array" ref="H348">SUM(IF('2014-2017 Projects'!$T$5:$T$158="Renewal-350",'2014-2017 Projects'!$AK$5:$AK$158,0))</f>
        <v>0</v>
      </c>
      <c r="I348" s="181"/>
      <c r="J348" s="181"/>
      <c r="K348" s="181"/>
      <c r="L348" s="181"/>
      <c r="M348" s="181"/>
      <c r="N348" s="181"/>
      <c r="O348" s="181"/>
      <c r="P348" s="181"/>
      <c r="Q348" s="181"/>
      <c r="R348" s="181"/>
      <c r="S348" s="181"/>
      <c r="T348" s="181"/>
      <c r="U348" s="181"/>
      <c r="V348" s="181"/>
      <c r="W348" s="181"/>
      <c r="X348" s="181"/>
      <c r="Y348" s="181"/>
      <c r="Z348" s="181"/>
      <c r="AA348" s="181"/>
      <c r="AB348" s="181"/>
      <c r="AC348" s="181"/>
      <c r="AD348" s="181"/>
      <c r="AE348" s="181"/>
      <c r="AF348" s="181"/>
      <c r="AG348" s="181"/>
      <c r="AH348" s="181"/>
      <c r="AI348" s="181"/>
      <c r="AJ348" s="181"/>
      <c r="AK348" s="181"/>
      <c r="AL348" s="181"/>
      <c r="AM348" s="181"/>
      <c r="AN348" s="181">
        <f t="array" ref="AN348">SUM(IF('2014-2017 Projects'!$T$5:$T$158="Renewal-350",'2014-2017 Projects'!$CE$5:$CE$158,0))</f>
        <v>0</v>
      </c>
      <c r="AO348" s="181">
        <f t="array" ref="AO348">SUM(IF('2014-2017 Projects'!$T$5:$T$158="Renewal-350",'2014-2017 Projects'!$CF$5:$CF$158,0))</f>
        <v>0</v>
      </c>
    </row>
    <row r="349" spans="1:47" ht="13.5">
      <c r="A349" s="200" t="s">
        <v>393</v>
      </c>
      <c r="B349" s="311"/>
      <c r="C349" s="311"/>
      <c r="D349" s="311"/>
      <c r="E349" s="311"/>
      <c r="F349" s="311"/>
      <c r="G349" s="223"/>
      <c r="H349" s="181">
        <f t="array" ref="H349">SUM(IF('2014-2017 Projects'!$T$5:$T$158="Renewal-360",'2014-2017 Projects'!$AK$5:$AK$158,0))</f>
        <v>0</v>
      </c>
      <c r="I349" s="181"/>
      <c r="J349" s="181"/>
      <c r="K349" s="181"/>
      <c r="L349" s="181"/>
      <c r="M349" s="181"/>
      <c r="N349" s="181"/>
      <c r="O349" s="181"/>
      <c r="P349" s="181"/>
      <c r="Q349" s="181"/>
      <c r="R349" s="181"/>
      <c r="S349" s="181"/>
      <c r="T349" s="181"/>
      <c r="U349" s="181"/>
      <c r="V349" s="181"/>
      <c r="W349" s="181"/>
      <c r="X349" s="181"/>
      <c r="Y349" s="181"/>
      <c r="Z349" s="181"/>
      <c r="AA349" s="181"/>
      <c r="AB349" s="181"/>
      <c r="AC349" s="181"/>
      <c r="AD349" s="181"/>
      <c r="AE349" s="181"/>
      <c r="AF349" s="181"/>
      <c r="AG349" s="181"/>
      <c r="AH349" s="181"/>
      <c r="AI349" s="181"/>
      <c r="AJ349" s="181"/>
      <c r="AK349" s="181"/>
      <c r="AL349" s="181"/>
      <c r="AM349" s="181"/>
      <c r="AN349" s="181">
        <f t="array" ref="AN349">SUM(IF('2014-2017 Projects'!$T$5:$T$158="Renewal-360",'2014-2017 Projects'!$CE$5:$CE$158,0))</f>
        <v>0</v>
      </c>
      <c r="AO349" s="181">
        <f t="array" ref="AO349">SUM(IF('2014-2017 Projects'!$T$5:$T$158="Renewal-360",'2014-2017 Projects'!$CF$5:$CF$158,0))</f>
        <v>0</v>
      </c>
    </row>
    <row r="350" spans="1:47" ht="13.5">
      <c r="A350" s="200" t="s">
        <v>394</v>
      </c>
      <c r="B350" s="311"/>
      <c r="C350" s="311"/>
      <c r="D350" s="311"/>
      <c r="E350" s="311"/>
      <c r="F350" s="311"/>
      <c r="G350" s="223"/>
      <c r="H350" s="181">
        <f t="array" ref="H350">SUM(IF('2014-2017 Projects'!$T$5:$T$158="Renewal-390",'2014-2017 Projects'!$AK$5:$AK$158,0))</f>
        <v>0</v>
      </c>
      <c r="I350" s="181"/>
      <c r="J350" s="181"/>
      <c r="K350" s="181"/>
      <c r="L350" s="181"/>
      <c r="M350" s="181"/>
      <c r="N350" s="181"/>
      <c r="O350" s="181"/>
      <c r="P350" s="181"/>
      <c r="Q350" s="181"/>
      <c r="R350" s="181"/>
      <c r="S350" s="181"/>
      <c r="T350" s="181"/>
      <c r="U350" s="181"/>
      <c r="V350" s="181"/>
      <c r="W350" s="181"/>
      <c r="X350" s="181"/>
      <c r="Y350" s="181"/>
      <c r="Z350" s="181"/>
      <c r="AA350" s="181"/>
      <c r="AB350" s="181"/>
      <c r="AC350" s="181"/>
      <c r="AD350" s="181"/>
      <c r="AE350" s="181"/>
      <c r="AF350" s="181"/>
      <c r="AG350" s="181"/>
      <c r="AH350" s="181"/>
      <c r="AI350" s="181"/>
      <c r="AJ350" s="181"/>
      <c r="AK350" s="181"/>
      <c r="AL350" s="181"/>
      <c r="AM350" s="181"/>
      <c r="AN350" s="181">
        <f t="array" ref="AN350">SUM(IF('2014-2017 Projects'!$T$5:$T$158="Renewal-390",'2014-2017 Projects'!$CE$5:$CE$158,0))</f>
        <v>0</v>
      </c>
      <c r="AO350" s="181">
        <f t="array" ref="AO350">SUM(IF('2014-2017 Projects'!$T$5:$T$158="Renewal-390",'2014-2017 Projects'!$CF$5:$CF$158,0))</f>
        <v>0</v>
      </c>
    </row>
    <row r="351" spans="1:47" ht="13.5">
      <c r="A351" s="224" t="s">
        <v>395</v>
      </c>
      <c r="B351" s="312"/>
      <c r="C351" s="312"/>
      <c r="D351" s="312"/>
      <c r="E351" s="312"/>
      <c r="F351" s="312"/>
      <c r="G351" s="225"/>
      <c r="H351" s="226"/>
      <c r="I351" s="226"/>
      <c r="J351" s="226"/>
      <c r="K351" s="226"/>
      <c r="L351" s="226"/>
      <c r="M351" s="226"/>
      <c r="N351" s="226"/>
      <c r="O351" s="226"/>
      <c r="P351" s="226"/>
      <c r="Q351" s="226"/>
      <c r="R351" s="226"/>
      <c r="S351" s="226"/>
      <c r="T351" s="226"/>
      <c r="U351" s="226"/>
      <c r="V351" s="226"/>
      <c r="W351" s="226"/>
      <c r="X351" s="226"/>
      <c r="Y351" s="226"/>
      <c r="Z351" s="226"/>
      <c r="AA351" s="226"/>
      <c r="AB351" s="226"/>
      <c r="AC351" s="226"/>
      <c r="AD351" s="226"/>
      <c r="AE351" s="226"/>
      <c r="AF351" s="226"/>
      <c r="AG351" s="226"/>
      <c r="AH351" s="226"/>
      <c r="AI351" s="226"/>
      <c r="AJ351" s="226"/>
      <c r="AK351" s="226"/>
      <c r="AL351" s="226"/>
      <c r="AM351" s="226"/>
      <c r="AN351" s="226"/>
      <c r="AO351" s="226"/>
    </row>
    <row r="352" spans="1:47">
      <c r="A352" s="196"/>
      <c r="B352" s="196"/>
      <c r="C352" s="196"/>
      <c r="D352" s="196"/>
      <c r="E352" s="196"/>
      <c r="F352" s="196"/>
      <c r="G352" s="196"/>
      <c r="H352" s="313"/>
      <c r="I352" s="313"/>
      <c r="J352" s="313"/>
      <c r="K352" s="313"/>
      <c r="L352" s="313"/>
      <c r="M352" s="313"/>
      <c r="N352" s="313"/>
      <c r="O352" s="313"/>
      <c r="P352" s="313"/>
      <c r="Q352" s="313"/>
      <c r="R352" s="313"/>
      <c r="S352" s="313"/>
      <c r="T352" s="313"/>
      <c r="U352" s="313"/>
      <c r="V352" s="313"/>
      <c r="W352" s="313"/>
      <c r="X352" s="313"/>
      <c r="Y352" s="313"/>
      <c r="Z352" s="313"/>
      <c r="AA352" s="313"/>
      <c r="AB352" s="313"/>
      <c r="AC352" s="313"/>
      <c r="AD352" s="313"/>
      <c r="AE352" s="313"/>
      <c r="AF352" s="313"/>
      <c r="AG352" s="313"/>
      <c r="AH352" s="313"/>
      <c r="AI352" s="313"/>
      <c r="AJ352" s="313"/>
      <c r="AK352" s="313"/>
      <c r="AL352" s="313"/>
      <c r="AM352" s="313"/>
      <c r="AN352" s="196"/>
      <c r="AO352" s="196"/>
    </row>
    <row r="353" spans="1:48">
      <c r="A353" s="231" t="s">
        <v>495</v>
      </c>
      <c r="B353" s="232"/>
      <c r="C353" s="232"/>
      <c r="D353" s="232"/>
      <c r="E353" s="232"/>
      <c r="F353" s="232"/>
      <c r="G353" s="232"/>
      <c r="H353" s="232"/>
      <c r="I353" s="232"/>
      <c r="J353" s="232"/>
      <c r="K353" s="232"/>
      <c r="L353" s="232"/>
      <c r="M353" s="232"/>
      <c r="N353" s="232"/>
      <c r="O353" s="232"/>
      <c r="P353" s="232"/>
      <c r="Q353" s="232"/>
      <c r="R353" s="232"/>
      <c r="S353" s="232"/>
      <c r="T353" s="232"/>
      <c r="U353" s="232"/>
      <c r="V353" s="232"/>
      <c r="W353" s="232"/>
      <c r="X353" s="232"/>
      <c r="Y353" s="232"/>
      <c r="Z353" s="232"/>
      <c r="AA353" s="232"/>
      <c r="AB353" s="232"/>
      <c r="AC353" s="232"/>
      <c r="AD353" s="232"/>
      <c r="AE353" s="232"/>
      <c r="AF353" s="232"/>
      <c r="AG353" s="232"/>
      <c r="AH353" s="232"/>
      <c r="AI353" s="232"/>
      <c r="AJ353" s="232"/>
      <c r="AK353" s="232"/>
      <c r="AL353" s="232"/>
      <c r="AM353" s="232"/>
      <c r="AN353" s="232"/>
      <c r="AO353" s="232"/>
    </row>
    <row r="354" spans="1:48" ht="48">
      <c r="A354" s="233" t="s">
        <v>399</v>
      </c>
      <c r="B354" s="141" t="s">
        <v>297</v>
      </c>
      <c r="C354" s="141" t="s">
        <v>297</v>
      </c>
      <c r="D354" s="141" t="s">
        <v>297</v>
      </c>
      <c r="E354" s="141" t="s">
        <v>297</v>
      </c>
      <c r="F354" s="141" t="s">
        <v>297</v>
      </c>
      <c r="G354" s="141"/>
      <c r="H354" s="141" t="s">
        <v>616</v>
      </c>
      <c r="I354" s="452" t="s">
        <v>589</v>
      </c>
      <c r="J354" s="452" t="s">
        <v>590</v>
      </c>
      <c r="K354" s="452" t="s">
        <v>592</v>
      </c>
      <c r="L354" s="452" t="s">
        <v>593</v>
      </c>
      <c r="M354" s="452" t="s">
        <v>594</v>
      </c>
      <c r="N354" s="452" t="s">
        <v>595</v>
      </c>
      <c r="O354" s="452" t="s">
        <v>596</v>
      </c>
      <c r="P354" s="452" t="s">
        <v>597</v>
      </c>
      <c r="Q354" s="452" t="s">
        <v>598</v>
      </c>
      <c r="R354" s="452" t="s">
        <v>599</v>
      </c>
      <c r="S354" s="452" t="s">
        <v>600</v>
      </c>
      <c r="T354" s="452" t="s">
        <v>601</v>
      </c>
      <c r="U354" s="452" t="s">
        <v>603</v>
      </c>
      <c r="V354" s="452" t="s">
        <v>604</v>
      </c>
      <c r="W354" s="452" t="s">
        <v>605</v>
      </c>
      <c r="X354" s="452" t="s">
        <v>606</v>
      </c>
      <c r="Y354" s="452" t="s">
        <v>607</v>
      </c>
      <c r="Z354" s="452" t="s">
        <v>608</v>
      </c>
      <c r="AA354" s="452" t="s">
        <v>610</v>
      </c>
      <c r="AB354" s="452" t="s">
        <v>609</v>
      </c>
      <c r="AC354" s="452" t="s">
        <v>611</v>
      </c>
      <c r="AD354" s="452" t="s">
        <v>612</v>
      </c>
      <c r="AE354" s="452" t="s">
        <v>613</v>
      </c>
      <c r="AF354" s="452" t="s">
        <v>614</v>
      </c>
      <c r="AG354" s="452" t="s">
        <v>203</v>
      </c>
      <c r="AH354" s="452" t="s">
        <v>618</v>
      </c>
      <c r="AI354" s="452" t="s">
        <v>220</v>
      </c>
      <c r="AJ354" s="452" t="s">
        <v>619</v>
      </c>
      <c r="AK354" s="452" t="s">
        <v>620</v>
      </c>
      <c r="AL354" s="452" t="s">
        <v>621</v>
      </c>
      <c r="AM354" s="452" t="s">
        <v>622</v>
      </c>
      <c r="AN354" s="140" t="s">
        <v>429</v>
      </c>
      <c r="AO354" s="140" t="s">
        <v>412</v>
      </c>
    </row>
    <row r="355" spans="1:48" s="134" customFormat="1">
      <c r="A355" s="144" t="s">
        <v>35</v>
      </c>
      <c r="B355" s="328" t="e">
        <f t="array" ref="B355">SUM(IF('[5]2013-2016 Projects'!$E$4:$E$202="Water",'[5]2013-2016 Projects'!$V$4:$V$202,0))</f>
        <v>#REF!</v>
      </c>
      <c r="C355" s="328" t="e">
        <f t="array" ref="C355">SUM(IF('[5]2013-2016 Projects'!$E$4:$E$202="Water",'[5]2013-2016 Projects'!$V$4:$V$202,0))</f>
        <v>#REF!</v>
      </c>
      <c r="D355" s="328">
        <f t="array" ref="D355">SUM(IF('2014-2017 Projects'!$J$5:$J$158="Water",'2014-2017 Projects'!$AG$5:$AG$158,0))</f>
        <v>10000000</v>
      </c>
      <c r="E355" s="328">
        <f t="array" ref="E355">SUM(IF('2014-2017 Projects'!$J$5:$J$158="Water",'2014-2017 Projects'!$AH$5:$AH$158,0))</f>
        <v>0</v>
      </c>
      <c r="F355" s="328">
        <f t="array" ref="F355">SUM(IF('2014-2017 Projects'!$J$5:$J$158="Water",'2014-2017 Projects'!$AI$5:$AI$158,0))</f>
        <v>10000000</v>
      </c>
      <c r="G355" s="328"/>
      <c r="H355" s="328">
        <f t="array" ref="H355">SUM(IF('2014-2017 Projects'!$J$5:$J$158="Water",'2014-2017 Projects'!$AK$5:$AK$158,0))</f>
        <v>97688726</v>
      </c>
      <c r="I355" s="328">
        <f t="array" ref="I355">SUM(IF('2014-2017 Projects'!$J$5:$J$158="Water",'2014-2017 Projects'!$AL$5:$AL$158,0))</f>
        <v>0</v>
      </c>
      <c r="J355" s="328">
        <f t="array" ref="J355">SUM(IF('2014-2017 Projects'!$J$5:$J$158="Water",'2014-2017 Projects'!$AN$5:$AN$158,0))</f>
        <v>0</v>
      </c>
      <c r="K355" s="328"/>
      <c r="L355" s="328"/>
      <c r="M355" s="328"/>
      <c r="N355" s="328"/>
      <c r="O355" s="328"/>
      <c r="P355" s="328"/>
      <c r="Q355" s="328"/>
      <c r="R355" s="328"/>
      <c r="S355" s="328"/>
      <c r="T355" s="328"/>
      <c r="U355" s="328"/>
      <c r="V355" s="328"/>
      <c r="W355" s="328"/>
      <c r="X355" s="328"/>
      <c r="Y355" s="328"/>
      <c r="Z355" s="328"/>
      <c r="AA355" s="328"/>
      <c r="AB355" s="328"/>
      <c r="AC355" s="328"/>
      <c r="AD355" s="328"/>
      <c r="AE355" s="328"/>
      <c r="AF355" s="328"/>
      <c r="AG355" s="328">
        <f>I355+K355+M355+O355+Q355+S355+U355+W355+Y355+AA355+AC355+AE355</f>
        <v>0</v>
      </c>
      <c r="AH355" s="328">
        <f>J355+L355+N355+P355+R355+T355+V355+X355+Z355+AB355+AD355+AF355</f>
        <v>0</v>
      </c>
      <c r="AI355" s="328">
        <f t="array" ref="AI355">SUM(IF('2014-2017 Projects'!$J$5:$J$158="Water",'2014-2017 Projects'!$BV$5:$BV$158,0))</f>
        <v>291989.95</v>
      </c>
      <c r="AJ355" s="328">
        <f>H355-AG355</f>
        <v>97688726</v>
      </c>
      <c r="AK355" s="328">
        <f>H355-AH355</f>
        <v>97688726</v>
      </c>
      <c r="AL355" s="453">
        <f t="shared" ref="AL355" si="87">AG355/H355</f>
        <v>0</v>
      </c>
      <c r="AM355" s="453">
        <f t="shared" ref="AM355" si="88">AH355/H355</f>
        <v>0</v>
      </c>
      <c r="AN355" s="328">
        <f t="array" ref="AN355">SUM(IF('2014-2017 Projects'!$J$5:$J$158="Water",'2014-2017 Projects'!$CE$5:$CE$158,0))</f>
        <v>91000000</v>
      </c>
      <c r="AO355" s="328">
        <f t="array" ref="AO355">SUM(IF('2014-2017 Projects'!$J$5:$J$158="Water",'2014-2017 Projects'!$CF$5:$CF$158,0))</f>
        <v>91000000</v>
      </c>
      <c r="AR355" s="143"/>
      <c r="AS355" s="143"/>
      <c r="AT355" s="290"/>
      <c r="AU355" s="290"/>
      <c r="AV355" s="290"/>
    </row>
    <row r="356" spans="1:48" s="134" customFormat="1">
      <c r="A356" s="144" t="s">
        <v>73</v>
      </c>
      <c r="B356" s="328" t="e">
        <f t="array" ref="B356">SUM(IF('[5]2013-2016 Projects'!$E$4:$E$202="Waste Water",'[5]2013-2016 Projects'!$V$4:$V$202,0))</f>
        <v>#REF!</v>
      </c>
      <c r="C356" s="328" t="e">
        <f t="array" ref="C356">SUM(IF('[5]2013-2016 Projects'!$E$4:$E$202="Waste Water",'[5]2013-2016 Projects'!$V$4:$V$202,0))</f>
        <v>#REF!</v>
      </c>
      <c r="D356" s="328">
        <f t="array" ref="D356">SUM(IF('2014-2017 Projects'!$J$5:$J$158="Waste Water",'2014-2017 Projects'!$AG$5:$AG$158,0))</f>
        <v>57854000</v>
      </c>
      <c r="E356" s="328">
        <f t="array" ref="E356">SUM(IF('2014-2017 Projects'!$J$5:$J$158="Waste Water",'2014-2017 Projects'!$AH$5:$AH$158,0))</f>
        <v>0</v>
      </c>
      <c r="F356" s="328">
        <f t="array" ref="F356">SUM(IF('2014-2017 Projects'!$J$5:$J$158="Waste Water",'2014-2017 Projects'!$AI$5:$AI$158,0))</f>
        <v>57854000</v>
      </c>
      <c r="G356" s="328"/>
      <c r="H356" s="328">
        <f t="array" ref="H356">SUM(IF('2014-2017 Projects'!$J$5:$J$158="Waste Water",'2014-2017 Projects'!$AK$5:$AK$158,0))</f>
        <v>216507892</v>
      </c>
      <c r="I356" s="328">
        <f t="array" ref="I356">SUM(IF('2014-2017 Projects'!$J$5:$J$158="Waste Water",'2014-2017 Projects'!$AL$5:$AL$158,0))</f>
        <v>-199830.90999999997</v>
      </c>
      <c r="J356" s="328">
        <f t="array" ref="J356">SUM(IF('2014-2017 Projects'!$J$5:$J$158="Waste Water",'2014-2017 Projects'!$AN$5:$AN$158,0))</f>
        <v>-199830.90999999997</v>
      </c>
      <c r="K356" s="328"/>
      <c r="L356" s="328"/>
      <c r="M356" s="328"/>
      <c r="N356" s="328"/>
      <c r="O356" s="328"/>
      <c r="P356" s="328"/>
      <c r="Q356" s="328"/>
      <c r="R356" s="328"/>
      <c r="S356" s="328"/>
      <c r="T356" s="328"/>
      <c r="U356" s="328"/>
      <c r="V356" s="328"/>
      <c r="W356" s="328"/>
      <c r="X356" s="328"/>
      <c r="Y356" s="328"/>
      <c r="Z356" s="328"/>
      <c r="AA356" s="328"/>
      <c r="AB356" s="328"/>
      <c r="AC356" s="328"/>
      <c r="AD356" s="328"/>
      <c r="AE356" s="328"/>
      <c r="AF356" s="328"/>
      <c r="AG356" s="328">
        <f t="shared" ref="AG356:AG367" si="89">I356+K356+M356+O356+Q356+S356+U356+W356+Y356+AA356+AC356+AE356</f>
        <v>-199830.90999999997</v>
      </c>
      <c r="AH356" s="328">
        <f t="shared" ref="AH356:AH367" si="90">J356+L356+N356+P356+R356+T356+V356+X356+Z356+AB356+AD356+AF356</f>
        <v>-199830.90999999997</v>
      </c>
      <c r="AI356" s="328">
        <f t="array" ref="AI356">SUM(IF('2014-2017 Projects'!$J$5:$J$158="Waste Water",'2014-2017 Projects'!$BV$5:$BV$158,0))</f>
        <v>398437.45</v>
      </c>
      <c r="AJ356" s="328">
        <f t="shared" ref="AJ356:AJ367" si="91">H356-AG356</f>
        <v>216707722.91</v>
      </c>
      <c r="AK356" s="328">
        <f t="shared" ref="AK356:AK367" si="92">H356-AH356</f>
        <v>216707722.91</v>
      </c>
      <c r="AL356" s="453">
        <f t="shared" ref="AL356:AL369" si="93">AG356/H356</f>
        <v>-9.2297286788973023E-4</v>
      </c>
      <c r="AM356" s="453">
        <f t="shared" ref="AM356:AM369" si="94">AH356/H356</f>
        <v>-9.2297286788973023E-4</v>
      </c>
      <c r="AN356" s="328">
        <f t="array" ref="AN356">SUM(IF('2014-2017 Projects'!$J$5:$J$158="Waste Water",'2014-2017 Projects'!$CE$5:$CE$158,0))</f>
        <v>230000000</v>
      </c>
      <c r="AO356" s="328">
        <f t="array" ref="AO356">SUM(IF('2014-2017 Projects'!$J$5:$J$158="Waste Water",'2014-2017 Projects'!$CF$5:$CF$158,0))</f>
        <v>137000000</v>
      </c>
      <c r="AR356" s="143"/>
      <c r="AS356" s="143"/>
      <c r="AT356" s="290"/>
      <c r="AU356" s="290"/>
      <c r="AV356" s="290"/>
    </row>
    <row r="357" spans="1:48" s="134" customFormat="1">
      <c r="A357" s="144" t="s">
        <v>14</v>
      </c>
      <c r="B357" s="328" t="e">
        <f t="array" ref="B357">SUM(IF('[5]2013-2016 Projects'!$E$4:$E$202="electricity",'[5]2013-2016 Projects'!$V$4:$V$202,0))</f>
        <v>#REF!</v>
      </c>
      <c r="C357" s="328" t="e">
        <f t="array" ref="C357">SUM(IF('[5]2013-2016 Projects'!$E$4:$E$202="electricity",'[5]2013-2016 Projects'!$V$4:$V$202,0))</f>
        <v>#REF!</v>
      </c>
      <c r="D357" s="328">
        <f t="array" ref="D357">SUM(IF('2014-2017 Projects'!$J$5:$J$158="Electricity",'2014-2017 Projects'!$AG$5:$AG$158,0))</f>
        <v>12892331.879999999</v>
      </c>
      <c r="E357" s="328">
        <f t="array" ref="E357">SUM(IF('2014-2017 Projects'!$J$5:$J$158="Electricity",'2014-2017 Projects'!$AH$5:$AH$158,0))</f>
        <v>29084305</v>
      </c>
      <c r="F357" s="328">
        <f t="array" ref="F357">SUM(IF('2014-2017 Projects'!$J$5:$J$158="Electricity",'2014-2017 Projects'!$AI$5:$AI$158,0))</f>
        <v>41976636.879999995</v>
      </c>
      <c r="G357" s="328"/>
      <c r="H357" s="328">
        <f t="array" ref="H357">SUM(IF('2014-2017 Projects'!$J$5:$J$158="Electricity",'2014-2017 Projects'!$AK$5:$AK$158,0))</f>
        <v>134699000</v>
      </c>
      <c r="I357" s="328">
        <f t="array" ref="I357">SUM(IF('2014-2017 Projects'!$J$5:$J$158="Electricity",'2014-2017 Projects'!$AL$5:$AL$158,0))</f>
        <v>34346</v>
      </c>
      <c r="J357" s="328">
        <f t="array" ref="J357">SUM(IF('2014-2017 Projects'!$J$5:$J$158="Electricity",'2014-2017 Projects'!$AN$5:$AN$158,0))</f>
        <v>34346</v>
      </c>
      <c r="K357" s="328"/>
      <c r="L357" s="328"/>
      <c r="M357" s="328"/>
      <c r="N357" s="328"/>
      <c r="O357" s="328"/>
      <c r="P357" s="328"/>
      <c r="Q357" s="328"/>
      <c r="R357" s="328"/>
      <c r="S357" s="328"/>
      <c r="T357" s="328"/>
      <c r="U357" s="328"/>
      <c r="V357" s="328"/>
      <c r="W357" s="328"/>
      <c r="X357" s="328"/>
      <c r="Y357" s="328"/>
      <c r="Z357" s="328"/>
      <c r="AA357" s="328"/>
      <c r="AB357" s="328"/>
      <c r="AC357" s="328"/>
      <c r="AD357" s="328"/>
      <c r="AE357" s="328"/>
      <c r="AF357" s="328"/>
      <c r="AG357" s="328">
        <f t="shared" si="89"/>
        <v>34346</v>
      </c>
      <c r="AH357" s="328">
        <f t="shared" si="90"/>
        <v>34346</v>
      </c>
      <c r="AI357" s="328">
        <f t="array" ref="AI357">SUM(IF('2014-2017 Projects'!$J$5:$J$158="Electricity",'2014-2017 Projects'!$BV$5:$BV$158,0))</f>
        <v>0</v>
      </c>
      <c r="AJ357" s="328">
        <f t="shared" si="91"/>
        <v>134664654</v>
      </c>
      <c r="AK357" s="328">
        <f t="shared" si="92"/>
        <v>134664654</v>
      </c>
      <c r="AL357" s="453">
        <f t="shared" si="93"/>
        <v>2.5498333320960067E-4</v>
      </c>
      <c r="AM357" s="453">
        <f t="shared" si="94"/>
        <v>2.5498333320960067E-4</v>
      </c>
      <c r="AN357" s="328">
        <f t="array" ref="AN357">SUM(IF('2014-2017 Projects'!$J$5:$J$158="Electricity",'2014-2017 Projects'!$CE$5:$CE$158,0))</f>
        <v>142500000</v>
      </c>
      <c r="AO357" s="328">
        <f t="array" ref="AO357">SUM(IF('2014-2017 Projects'!$J$5:$J$158="Electricity",'2014-2017 Projects'!$CF$5:$CF$158,0))</f>
        <v>148500000</v>
      </c>
      <c r="AR357" s="143"/>
      <c r="AS357" s="143"/>
      <c r="AT357" s="290"/>
      <c r="AU357" s="290"/>
      <c r="AV357" s="290"/>
    </row>
    <row r="358" spans="1:48">
      <c r="A358" s="171" t="s">
        <v>401</v>
      </c>
      <c r="B358" s="170" t="e">
        <f t="array" ref="B358">SUM(IF('[5]2013-2016 Projects'!$E$4:$E$202="Roads",'[5]2013-2016 Projects'!$V$4:$V$202,0))</f>
        <v>#REF!</v>
      </c>
      <c r="C358" s="170" t="e">
        <f t="array" ref="C358">SUM(IF('[5]2013-2016 Projects'!$E$4:$E$202="Roads",'[5]2013-2016 Projects'!$V$4:$V$202,0))</f>
        <v>#REF!</v>
      </c>
      <c r="D358" s="170">
        <f t="array" ref="D358">SUM(IF('2014-2017 Projects'!$J$5:$J$158="Roads",'2014-2017 Projects'!$AG$5:$AG$158,0))</f>
        <v>9000000</v>
      </c>
      <c r="E358" s="170">
        <f t="array" ref="E358">SUM(IF('2014-2017 Projects'!$J$5:$J$158="Roads",'2014-2017 Projects'!$AH$5:$AH$158,0))</f>
        <v>0</v>
      </c>
      <c r="F358" s="170">
        <f t="array" ref="F358">SUM(IF('2014-2017 Projects'!$J$5:$J$158="Roads",'2014-2017 Projects'!$AI$5:$AI$158,0))</f>
        <v>9000000</v>
      </c>
      <c r="G358" s="170"/>
      <c r="H358" s="170">
        <f t="array" ref="H358">SUM(IF('2014-2017 Projects'!$J$5:$J$158="Roads",'2014-2017 Projects'!$AK$5:$AK$158,0))</f>
        <v>188000000</v>
      </c>
      <c r="I358" s="170">
        <f t="array" ref="I358">SUM(IF('2014-2017 Projects'!$J$5:$J$158="Roads",'2014-2017 Projects'!$AL$5:$AL$158,0))</f>
        <v>-47814.16</v>
      </c>
      <c r="J358" s="170">
        <f t="array" ref="J358">SUM(IF('2014-2017 Projects'!$J$5:$J$158="Roads",'2014-2017 Projects'!$AN$5:$AN$158,0))</f>
        <v>-47814.16</v>
      </c>
      <c r="K358" s="170"/>
      <c r="L358" s="170"/>
      <c r="M358" s="170"/>
      <c r="N358" s="170"/>
      <c r="O358" s="170"/>
      <c r="P358" s="170"/>
      <c r="Q358" s="170"/>
      <c r="R358" s="170"/>
      <c r="S358" s="170"/>
      <c r="T358" s="170"/>
      <c r="U358" s="170"/>
      <c r="V358" s="170"/>
      <c r="W358" s="170"/>
      <c r="X358" s="170"/>
      <c r="Y358" s="170"/>
      <c r="Z358" s="170"/>
      <c r="AA358" s="170"/>
      <c r="AB358" s="170"/>
      <c r="AC358" s="170"/>
      <c r="AD358" s="170"/>
      <c r="AE358" s="170"/>
      <c r="AF358" s="170"/>
      <c r="AG358" s="328">
        <f t="shared" si="89"/>
        <v>-47814.16</v>
      </c>
      <c r="AH358" s="328">
        <f t="shared" si="90"/>
        <v>-47814.16</v>
      </c>
      <c r="AI358" s="170">
        <f t="array" ref="AI358">SUM(IF('2014-2017 Projects'!$J$5:$J$158="Roads",'2014-2017 Projects'!$BV$5:$BV$158,0))</f>
        <v>0</v>
      </c>
      <c r="AJ358" s="328">
        <f t="shared" si="91"/>
        <v>188047814.16</v>
      </c>
      <c r="AK358" s="328">
        <f t="shared" si="92"/>
        <v>188047814.16</v>
      </c>
      <c r="AL358" s="453">
        <f t="shared" si="93"/>
        <v>-2.5433063829787233E-4</v>
      </c>
      <c r="AM358" s="453">
        <f t="shared" si="94"/>
        <v>-2.5433063829787233E-4</v>
      </c>
      <c r="AN358" s="170">
        <f t="array" ref="AN358">SUM(IF('2014-2017 Projects'!$J$5:$J$158="Roads",'2014-2017 Projects'!$CE$5:$CE$158,0))</f>
        <v>155000000</v>
      </c>
      <c r="AO358" s="170">
        <f t="array" ref="AO358">SUM(IF('2014-2017 Projects'!$J$5:$J$158="Roads",'2014-2017 Projects'!$CF$5:$CF$158,0))</f>
        <v>150000000</v>
      </c>
    </row>
    <row r="359" spans="1:48">
      <c r="A359" s="234" t="s">
        <v>13</v>
      </c>
      <c r="B359" s="170" t="e">
        <f t="array" ref="B359">SUM(IF('[5]2013-2016 Projects'!$E$4:$E$202="Housing",'[5]2013-2016 Projects'!$V$4:$V$202,0))</f>
        <v>#REF!</v>
      </c>
      <c r="C359" s="170" t="e">
        <f t="array" ref="C359">SUM(IF('[5]2013-2016 Projects'!$E$4:$E$202="Housing",'[5]2013-2016 Projects'!$V$4:$V$202,0))</f>
        <v>#REF!</v>
      </c>
      <c r="D359" s="170">
        <f t="array" ref="D359">SUM(IF('2014-2017 Projects'!$J$5:$J$158="Housing",'2014-2017 Projects'!$AG$5:$AG$158,0))</f>
        <v>81695940</v>
      </c>
      <c r="E359" s="170">
        <f t="array" ref="E359">SUM(IF('2014-2017 Projects'!$J$5:$J$158="Housing",'2014-2017 Projects'!$AH$5:$AH$158,0))</f>
        <v>-800000</v>
      </c>
      <c r="F359" s="170">
        <f t="array" ref="F359">SUM(IF('2014-2017 Projects'!$J$5:$J$158="Housing",'2014-2017 Projects'!$AI$5:$AI$158,0))</f>
        <v>80895940</v>
      </c>
      <c r="G359" s="170"/>
      <c r="H359" s="170">
        <f t="array" ref="H359">SUM(IF('2014-2017 Projects'!$J$5:$J$158="Housing",'2014-2017 Projects'!$AK$5:$AK$158,0))</f>
        <v>89636108</v>
      </c>
      <c r="I359" s="170">
        <f t="array" ref="I359">SUM(IF('2014-2017 Projects'!$J$5:$J$158="Housing",'2014-2017 Projects'!$AL$5:$AL$158,0))</f>
        <v>4419423.2700000005</v>
      </c>
      <c r="J359" s="170">
        <f t="array" ref="J359">SUM(IF('2014-2017 Projects'!$J$5:$J$158="Housing",'2014-2017 Projects'!$AN$5:$AN$158,0))</f>
        <v>4723842.5200000005</v>
      </c>
      <c r="K359" s="170"/>
      <c r="L359" s="170"/>
      <c r="M359" s="170"/>
      <c r="N359" s="170"/>
      <c r="O359" s="170"/>
      <c r="P359" s="170"/>
      <c r="Q359" s="170"/>
      <c r="R359" s="170"/>
      <c r="S359" s="170"/>
      <c r="T359" s="170"/>
      <c r="U359" s="170"/>
      <c r="V359" s="170"/>
      <c r="W359" s="170"/>
      <c r="X359" s="170"/>
      <c r="Y359" s="170"/>
      <c r="Z359" s="170"/>
      <c r="AA359" s="170"/>
      <c r="AB359" s="170"/>
      <c r="AC359" s="170"/>
      <c r="AD359" s="170"/>
      <c r="AE359" s="170"/>
      <c r="AF359" s="170"/>
      <c r="AG359" s="328">
        <f>I359+K359+M359+O359+Q359+S359+U359+W359+Y359+AA359+AC359+AE359</f>
        <v>4419423.2700000005</v>
      </c>
      <c r="AH359" s="328">
        <f t="shared" si="90"/>
        <v>4723842.5200000005</v>
      </c>
      <c r="AI359" s="170">
        <f t="array" ref="AI359">SUM(IF('2014-2017 Projects'!$J$5:$J$158="Housing",'2014-2017 Projects'!$BV$5:$BV$158,0))</f>
        <v>0</v>
      </c>
      <c r="AJ359" s="328">
        <f t="shared" si="91"/>
        <v>85216684.730000004</v>
      </c>
      <c r="AK359" s="328">
        <f t="shared" si="92"/>
        <v>84912265.480000004</v>
      </c>
      <c r="AL359" s="453">
        <f t="shared" si="93"/>
        <v>4.9304051331635242E-2</v>
      </c>
      <c r="AM359" s="453">
        <f t="shared" si="94"/>
        <v>5.2700218978717822E-2</v>
      </c>
      <c r="AN359" s="170">
        <f t="array" ref="AN359">SUM(IF('2014-2017 Projects'!$J$5:$J$158="Housing",'2014-2017 Projects'!$CE$5:$CE$158,0))</f>
        <v>162468500</v>
      </c>
      <c r="AO359" s="170">
        <f t="array" ref="AO359">SUM(IF('2014-2017 Projects'!$J$5:$J$158="Housing",'2014-2017 Projects'!$CF$5:$CF$158,0))</f>
        <v>266264685</v>
      </c>
    </row>
    <row r="360" spans="1:48">
      <c r="A360" s="235" t="s">
        <v>439</v>
      </c>
      <c r="B360" s="170" t="e">
        <f t="array" ref="B360">SUM(IF('[5]2013-2016 Projects'!$E$4:$E$202="Planning and Development",'[5]2013-2016 Projects'!$V$4:$V$202,0))</f>
        <v>#REF!</v>
      </c>
      <c r="C360" s="170" t="e">
        <f t="array" ref="C360">SUM(IF('[5]2013-2016 Projects'!$E$4:$E$202="Planning and Development",'[5]2013-2016 Projects'!$V$4:$V$202,0))</f>
        <v>#REF!</v>
      </c>
      <c r="D360" s="170">
        <f t="array" ref="D360">SUM(IF('2014-2017 Projects'!$J$5:$J$158="Planning and development",'2014-2017 Projects'!$AG$5:$AG$158,0))</f>
        <v>12000000</v>
      </c>
      <c r="E360" s="170">
        <f t="array" ref="E360">SUM(IF('2014-2017 Projects'!$J$5:$J$158="Planning and development",'2014-2017 Projects'!$AH$5:$AH$158,0))</f>
        <v>800000</v>
      </c>
      <c r="F360" s="170">
        <f t="array" ref="F360">SUM(IF('2014-2017 Projects'!$J$5:$J$158="Planning and development",'2014-2017 Projects'!$AI$5:$AI$158,0))</f>
        <v>12800000</v>
      </c>
      <c r="G360" s="170"/>
      <c r="H360" s="170">
        <f t="array" ref="H360">SUM(IF('2014-2017 Projects'!$J$5:$J$158="Planning and development",'2014-2017 Projects'!$AK$5:$AK$158,0))</f>
        <v>54895288</v>
      </c>
      <c r="I360" s="170">
        <f t="array" ref="I360">SUM(IF('2014-2017 Projects'!$J$5:$J$158="Planning and development",'2014-2017 Projects'!$AL$5:$AL$158,0))</f>
        <v>52995</v>
      </c>
      <c r="J360" s="170">
        <f t="array" ref="J360">SUM(IF('2014-2017 Projects'!$J$5:$J$158="Planning and development",'2014-2017 Projects'!$AN$5:$AN$158,0))</f>
        <v>52995</v>
      </c>
      <c r="K360" s="170"/>
      <c r="L360" s="170"/>
      <c r="M360" s="170"/>
      <c r="N360" s="170"/>
      <c r="O360" s="170"/>
      <c r="P360" s="170"/>
      <c r="Q360" s="170"/>
      <c r="R360" s="170"/>
      <c r="S360" s="170"/>
      <c r="T360" s="170"/>
      <c r="U360" s="170"/>
      <c r="V360" s="170"/>
      <c r="W360" s="170"/>
      <c r="X360" s="170"/>
      <c r="Y360" s="170"/>
      <c r="Z360" s="170"/>
      <c r="AA360" s="170"/>
      <c r="AB360" s="170"/>
      <c r="AC360" s="170"/>
      <c r="AD360" s="170"/>
      <c r="AE360" s="170"/>
      <c r="AF360" s="170"/>
      <c r="AG360" s="328">
        <f t="shared" si="89"/>
        <v>52995</v>
      </c>
      <c r="AH360" s="328">
        <f t="shared" si="90"/>
        <v>52995</v>
      </c>
      <c r="AI360" s="170">
        <f t="array" ref="AI360">SUM(IF('2014-2017 Projects'!$J$5:$J$158="Planning and development",'2014-2017 Projects'!$BV$5:$BV$158,0))</f>
        <v>3069444.75</v>
      </c>
      <c r="AJ360" s="328">
        <f t="shared" si="91"/>
        <v>54842293</v>
      </c>
      <c r="AK360" s="328">
        <f t="shared" si="92"/>
        <v>54842293</v>
      </c>
      <c r="AL360" s="453">
        <f t="shared" si="93"/>
        <v>9.6538340412750912E-4</v>
      </c>
      <c r="AM360" s="453">
        <f t="shared" si="94"/>
        <v>9.6538340412750912E-4</v>
      </c>
      <c r="AN360" s="170">
        <f t="array" ref="AN360">SUM(IF('2014-2017 Projects'!$J$5:$J$158="Planning and development",'2014-2017 Projects'!$CE$5:$CE$158,0))</f>
        <v>52220661</v>
      </c>
      <c r="AO360" s="170">
        <f t="array" ref="AO360">SUM(IF('2014-2017 Projects'!$J$5:$J$158="Planning and development",'2014-2017 Projects'!$CF$5:$CF$158,0))</f>
        <v>83655051</v>
      </c>
    </row>
    <row r="361" spans="1:48">
      <c r="A361" s="171" t="s">
        <v>441</v>
      </c>
      <c r="B361" s="170" t="e">
        <f t="array" ref="B361">SUM(IF('[5]2013-2016 Projects'!$E$4:$E$202="Cleansing",'[5]2013-2016 Projects'!$V$4:$V$202,0))</f>
        <v>#REF!</v>
      </c>
      <c r="C361" s="170" t="e">
        <f t="array" ref="C361">SUM(IF('[5]2013-2016 Projects'!$E$4:$E$202="Cleansing",'[5]2013-2016 Projects'!$V$4:$V$202,0))</f>
        <v>#REF!</v>
      </c>
      <c r="D361" s="170">
        <f t="array" ref="D361">SUM(IF('2014-2017 Projects'!$J$5:$J$158="Waste Management",'2014-2017 Projects'!$AG$5:$AG$158,0))</f>
        <v>14240000</v>
      </c>
      <c r="E361" s="170">
        <f t="array" ref="E361">SUM(IF('2014-2017 Projects'!$J$5:$J$158="Waste Management",'2014-2017 Projects'!$AH$5:$AH$158,0))</f>
        <v>0</v>
      </c>
      <c r="F361" s="170">
        <f t="array" ref="F361">SUM(IF('2014-2017 Projects'!$J$5:$J$158="Waste Management",'2014-2017 Projects'!$AI$5:$AI$158,0))</f>
        <v>14240000</v>
      </c>
      <c r="G361" s="170">
        <f t="array" ref="G361">SUM(IF('2014-2017 Projects'!$J$5:$J$158="Waste Management",'2014-2017 Projects'!$AG$5:$AG$158,0))</f>
        <v>14240000</v>
      </c>
      <c r="H361" s="170">
        <f t="array" ref="H361">SUM(IF('2014-2017 Projects'!$J$5:$J$158="Waste Management",'2014-2017 Projects'!$AK$5:$AK$158,0))</f>
        <v>36300000</v>
      </c>
      <c r="I361" s="170">
        <f t="array" ref="I361">SUM(IF('2014-2017 Projects'!$J$5:$J$158="Waste Management",'2014-2017 Projects'!$AL$5:$AL$158,0))</f>
        <v>0</v>
      </c>
      <c r="J361" s="170">
        <f t="array" ref="J361">SUM(IF('2014-2017 Projects'!$J$5:$J$158="Waste Management",'2014-2017 Projects'!$AN$5:$AN$158,0))</f>
        <v>0</v>
      </c>
      <c r="K361" s="170"/>
      <c r="L361" s="170"/>
      <c r="M361" s="170"/>
      <c r="N361" s="170"/>
      <c r="O361" s="170"/>
      <c r="P361" s="170"/>
      <c r="Q361" s="170"/>
      <c r="R361" s="170"/>
      <c r="S361" s="170"/>
      <c r="T361" s="170"/>
      <c r="U361" s="170"/>
      <c r="V361" s="170"/>
      <c r="W361" s="170"/>
      <c r="X361" s="170"/>
      <c r="Y361" s="170"/>
      <c r="Z361" s="170"/>
      <c r="AA361" s="170"/>
      <c r="AB361" s="170"/>
      <c r="AC361" s="170"/>
      <c r="AD361" s="170"/>
      <c r="AE361" s="170"/>
      <c r="AF361" s="170"/>
      <c r="AG361" s="328">
        <f t="shared" si="89"/>
        <v>0</v>
      </c>
      <c r="AH361" s="328">
        <f t="shared" si="90"/>
        <v>0</v>
      </c>
      <c r="AI361" s="170">
        <f t="array" ref="AI361">SUM(IF('2014-2017 Projects'!$J$5:$J$158="Waste Management",'2014-2017 Projects'!$BV$5:$BV$158,0))</f>
        <v>645222.42000000004</v>
      </c>
      <c r="AJ361" s="328">
        <f t="shared" si="91"/>
        <v>36300000</v>
      </c>
      <c r="AK361" s="328">
        <f t="shared" si="92"/>
        <v>36300000</v>
      </c>
      <c r="AL361" s="453">
        <f t="shared" si="93"/>
        <v>0</v>
      </c>
      <c r="AM361" s="453">
        <f t="shared" si="94"/>
        <v>0</v>
      </c>
      <c r="AN361" s="170">
        <f t="array" ref="AN361">SUM(IF('2014-2017 Projects'!$J$5:$J$158="Waste Management",'2014-2017 Projects'!$CE$5:$CE$158,0))</f>
        <v>36710100</v>
      </c>
      <c r="AO361" s="170">
        <f t="array" ref="AO361">SUM(IF('2014-2017 Projects'!$J$5:$J$158="Waste Management",'2014-2017 Projects'!$CF$5:$CF$158,0))</f>
        <v>30412415</v>
      </c>
    </row>
    <row r="362" spans="1:48">
      <c r="A362" s="171" t="s">
        <v>75</v>
      </c>
      <c r="B362" s="170" t="e">
        <f t="array" ref="B362">SUM(IF('[5]2013-2016 Projects'!$E$4:$E$202="Amenities",'[5]2013-2016 Projects'!$V$4:$V$202,0))</f>
        <v>#REF!</v>
      </c>
      <c r="C362" s="170" t="e">
        <f t="array" ref="C362">SUM(IF('[5]2013-2016 Projects'!$E$4:$E$202="Amenities",'[5]2013-2016 Projects'!$V$4:$V$202,0))</f>
        <v>#REF!</v>
      </c>
      <c r="D362" s="170">
        <f t="array" ref="D362">SUM(IF('2014-2017 Projects'!$J$5:$J$158="Amenities",'2014-2017 Projects'!$AG$5:$AG$158,0))</f>
        <v>22800000</v>
      </c>
      <c r="E362" s="170">
        <f t="array" ref="E362">SUM(IF('2014-2017 Projects'!$J$5:$J$158="Amenities",'2014-2017 Projects'!$AH$5:$AH$158,0))</f>
        <v>-15884413</v>
      </c>
      <c r="F362" s="170">
        <f t="array" ref="F362">SUM(IF('2014-2017 Projects'!$J$5:$J$158="Amenities",'2014-2017 Projects'!$AI$5:$AI$158,0))</f>
        <v>6915587</v>
      </c>
      <c r="G362" s="170">
        <f t="array" ref="G362">SUM(IF('2014-2017 Projects'!$J$5:$J$158="Waste Management",'2014-2017 Projects'!$AG$5:$AG$158,0))</f>
        <v>14240000</v>
      </c>
      <c r="H362" s="170">
        <f t="array" ref="H362">SUM(IF('2014-2017 Projects'!$J$5:$J$158="Amenities",'2014-2017 Projects'!$AK$5:$AK$158,0))</f>
        <v>40030409</v>
      </c>
      <c r="I362" s="170">
        <f t="array" ref="I362">SUM(IF('2014-2017 Projects'!$J$5:$J$158="Amenities",'2014-2017 Projects'!$AL$5:$AL$158,0))</f>
        <v>0</v>
      </c>
      <c r="J362" s="170">
        <f t="array" ref="J362">SUM(IF('2014-2017 Projects'!$J$5:$J$158="Amenities",'2014-2017 Projects'!$AN$5:$AN$158,0))</f>
        <v>0</v>
      </c>
      <c r="K362" s="170"/>
      <c r="L362" s="170"/>
      <c r="M362" s="170"/>
      <c r="N362" s="170"/>
      <c r="O362" s="170"/>
      <c r="P362" s="170"/>
      <c r="Q362" s="170"/>
      <c r="R362" s="170"/>
      <c r="S362" s="170"/>
      <c r="T362" s="170"/>
      <c r="U362" s="170"/>
      <c r="V362" s="170"/>
      <c r="W362" s="170"/>
      <c r="X362" s="170"/>
      <c r="Y362" s="170"/>
      <c r="Z362" s="170"/>
      <c r="AA362" s="170"/>
      <c r="AB362" s="170"/>
      <c r="AC362" s="170"/>
      <c r="AD362" s="170"/>
      <c r="AE362" s="170"/>
      <c r="AF362" s="170"/>
      <c r="AG362" s="328">
        <f t="shared" si="89"/>
        <v>0</v>
      </c>
      <c r="AH362" s="328">
        <f t="shared" si="90"/>
        <v>0</v>
      </c>
      <c r="AI362" s="170">
        <f t="array" ref="AI362">SUM(IF('2014-2017 Projects'!$J$5:$J$158="Amenities",'2014-2017 Projects'!$BV$5:$BV$158,0))</f>
        <v>755998.5</v>
      </c>
      <c r="AJ362" s="328">
        <f t="shared" si="91"/>
        <v>40030409</v>
      </c>
      <c r="AK362" s="328">
        <f t="shared" si="92"/>
        <v>40030409</v>
      </c>
      <c r="AL362" s="453">
        <f t="shared" si="93"/>
        <v>0</v>
      </c>
      <c r="AM362" s="453">
        <f t="shared" si="94"/>
        <v>0</v>
      </c>
      <c r="AN362" s="170">
        <f t="array" ref="AN362">SUM(IF('2014-2017 Projects'!$J$5:$J$158="Amenities",'2014-2017 Projects'!$CE$5:$CE$158,0))</f>
        <v>30750000</v>
      </c>
      <c r="AO362" s="170">
        <f t="array" ref="AO362">SUM(IF('2014-2017 Projects'!$J$5:$J$158="Amenities",'2014-2017 Projects'!$CF$5:$CF$158,0))</f>
        <v>28750000</v>
      </c>
    </row>
    <row r="363" spans="1:48">
      <c r="A363" s="171" t="s">
        <v>74</v>
      </c>
      <c r="B363" s="170" t="e">
        <f t="array" ref="B363">SUM(IF('[5]2013-2016 Projects'!$E$4:$E$202="Environmental Services",'[5]2013-2016 Projects'!$V$4:$V$202,0))</f>
        <v>#REF!</v>
      </c>
      <c r="C363" s="170" t="e">
        <f t="array" ref="C363">SUM(IF('[5]2013-2016 Projects'!$E$4:$E$202="Environmental Services",'[5]2013-2016 Projects'!$V$4:$V$202,0))</f>
        <v>#REF!</v>
      </c>
      <c r="D363" s="170">
        <f t="array" ref="D363">SUM(IF('2014-2017 Projects'!$J$5:$J$158="Environmental Services",'2014-2017 Projects'!$AG$5:$AG$158,0))</f>
        <v>11040943</v>
      </c>
      <c r="E363" s="170">
        <f t="array" ref="E363">SUM(IF('2014-2017 Projects'!$J$5:$J$158="Environmental Services",'2014-2017 Projects'!$AH$5:$AH$158,0))</f>
        <v>7500000</v>
      </c>
      <c r="F363" s="170">
        <f t="array" ref="F363">SUM(IF('2014-2017 Projects'!$J$5:$J$158="Environmental Services",'2014-2017 Projects'!$AI$5:$AI$158,0))</f>
        <v>18540943</v>
      </c>
      <c r="G363" s="170">
        <f t="array" ref="G363">SUM(IF('2014-2017 Projects'!$J$5:$J$158="Waste Management",'2014-2017 Projects'!$AG$5:$AG$158,0))</f>
        <v>14240000</v>
      </c>
      <c r="H363" s="170">
        <f t="array" ref="H363">SUM(IF('2014-2017 Projects'!$J$5:$J$158="Environmental Services",'2014-2017 Projects'!$AK$5:$AK$158,0))</f>
        <v>10000000</v>
      </c>
      <c r="I363" s="170">
        <f t="array" ref="I363">SUM(IF('2014-2017 Projects'!$J$5:$J$158="Environmental Services",'2014-2017 Projects'!$AL$5:$AL$158,0))</f>
        <v>0</v>
      </c>
      <c r="J363" s="170">
        <f t="array" ref="J363">SUM(IF('2014-2017 Projects'!$J$5:$J$158="Environmental Services",'2014-2017 Projects'!$AN$5:$AN$158,0))</f>
        <v>0</v>
      </c>
      <c r="K363" s="170"/>
      <c r="L363" s="170"/>
      <c r="M363" s="170"/>
      <c r="N363" s="170"/>
      <c r="O363" s="170"/>
      <c r="P363" s="170"/>
      <c r="Q363" s="170"/>
      <c r="R363" s="170"/>
      <c r="S363" s="170"/>
      <c r="T363" s="170"/>
      <c r="U363" s="170"/>
      <c r="V363" s="170"/>
      <c r="W363" s="170"/>
      <c r="X363" s="170"/>
      <c r="Y363" s="170"/>
      <c r="Z363" s="170"/>
      <c r="AA363" s="170"/>
      <c r="AB363" s="170"/>
      <c r="AC363" s="170"/>
      <c r="AD363" s="170"/>
      <c r="AE363" s="170"/>
      <c r="AF363" s="170"/>
      <c r="AG363" s="328">
        <f t="shared" si="89"/>
        <v>0</v>
      </c>
      <c r="AH363" s="328">
        <f t="shared" si="90"/>
        <v>0</v>
      </c>
      <c r="AI363" s="170">
        <f t="array" ref="AI363">SUM(IF('2014-2017 Projects'!$J$5:$J$158="Environmental Services",'2014-2017 Projects'!$BV$5:$BV$158,0))</f>
        <v>0</v>
      </c>
      <c r="AJ363" s="328">
        <f t="shared" si="91"/>
        <v>10000000</v>
      </c>
      <c r="AK363" s="328">
        <f t="shared" si="92"/>
        <v>10000000</v>
      </c>
      <c r="AL363" s="453">
        <f t="shared" si="93"/>
        <v>0</v>
      </c>
      <c r="AM363" s="453">
        <f t="shared" si="94"/>
        <v>0</v>
      </c>
      <c r="AN363" s="170">
        <f t="array" ref="AN363">SUM(IF('2014-2017 Projects'!$J$5:$J$158="Environmental Services",'2014-2017 Projects'!$CE$5:$CE$158,0))</f>
        <v>8000000</v>
      </c>
      <c r="AO363" s="170">
        <f t="array" ref="AO363">SUM(IF('2014-2017 Projects'!$J$5:$J$158="Environmental Services",'2014-2017 Projects'!$CF$5:$CF$158,0))</f>
        <v>8000000</v>
      </c>
    </row>
    <row r="364" spans="1:48">
      <c r="A364" s="171" t="s">
        <v>76</v>
      </c>
      <c r="B364" s="170" t="e">
        <f t="array" ref="B364">SUM(IF('[5]2013-2016 Projects'!$E$4:$E$202="Health",'[5]2013-2016 Projects'!$V$4:$V$202,0))</f>
        <v>#REF!</v>
      </c>
      <c r="C364" s="170" t="e">
        <f t="array" ref="C364">SUM(IF('[5]2013-2016 Projects'!$E$4:$E$202="Health",'[5]2013-2016 Projects'!$V$4:$V$202,0))</f>
        <v>#REF!</v>
      </c>
      <c r="D364" s="170">
        <f t="array" ref="D364">SUM(IF('2014-2017 Projects'!$J$5:$J$158="Health Services",'2014-2017 Projects'!$AG$5:$AG$158,0))</f>
        <v>0</v>
      </c>
      <c r="E364" s="170">
        <f t="array" ref="E364">SUM(IF('2014-2017 Projects'!$J$5:$J$158="Health Services",'2014-2017 Projects'!$AH$5:$AH$158,0))</f>
        <v>0</v>
      </c>
      <c r="F364" s="170">
        <f t="array" ref="F364">SUM(IF('2014-2017 Projects'!$J$5:$J$158="Health Services",'2014-2017 Projects'!$AI$5:$AI$158,0))</f>
        <v>0</v>
      </c>
      <c r="G364" s="170">
        <f t="array" ref="G364">SUM(IF('2014-2017 Projects'!$J$5:$J$158="Waste Management",'2014-2017 Projects'!$AG$5:$AG$158,0))</f>
        <v>14240000</v>
      </c>
      <c r="H364" s="170">
        <f t="array" ref="H364">SUM(IF('2014-2017 Projects'!$J$5:$J$158="Health Services",'2014-2017 Projects'!$AK$5:$AK$158,0))</f>
        <v>0</v>
      </c>
      <c r="I364" s="170">
        <f t="array" ref="I364">SUM(IF('2014-2017 Projects'!$J$5:$J$158="Health Services",'2014-2017 Projects'!$AL$5:$AL$158,0))</f>
        <v>0</v>
      </c>
      <c r="J364" s="170">
        <f t="array" ref="J364">SUM(IF('2014-2017 Projects'!$J$5:$J$158="Health Services",'2014-2017 Projects'!$AN$5:$AN$158,0))</f>
        <v>0</v>
      </c>
      <c r="K364" s="170"/>
      <c r="L364" s="170"/>
      <c r="M364" s="170"/>
      <c r="N364" s="170"/>
      <c r="O364" s="170"/>
      <c r="P364" s="170"/>
      <c r="Q364" s="170"/>
      <c r="R364" s="170"/>
      <c r="S364" s="170"/>
      <c r="T364" s="170"/>
      <c r="U364" s="170"/>
      <c r="V364" s="170"/>
      <c r="W364" s="170"/>
      <c r="X364" s="170"/>
      <c r="Y364" s="170"/>
      <c r="Z364" s="170"/>
      <c r="AA364" s="170"/>
      <c r="AB364" s="170"/>
      <c r="AC364" s="170"/>
      <c r="AD364" s="170"/>
      <c r="AE364" s="170"/>
      <c r="AF364" s="170"/>
      <c r="AG364" s="328">
        <f t="shared" si="89"/>
        <v>0</v>
      </c>
      <c r="AH364" s="328">
        <f t="shared" si="90"/>
        <v>0</v>
      </c>
      <c r="AI364" s="170">
        <f t="array" ref="AI364">SUM(IF('2014-2017 Projects'!$J$5:$J$158="Health Services",'2014-2017 Projects'!$BV$5:$BV$158,0))</f>
        <v>0</v>
      </c>
      <c r="AJ364" s="328">
        <f t="shared" si="91"/>
        <v>0</v>
      </c>
      <c r="AK364" s="328">
        <f t="shared" si="92"/>
        <v>0</v>
      </c>
      <c r="AL364" s="453" t="e">
        <f t="shared" si="93"/>
        <v>#DIV/0!</v>
      </c>
      <c r="AM364" s="453" t="e">
        <f t="shared" si="94"/>
        <v>#DIV/0!</v>
      </c>
      <c r="AN364" s="170">
        <f t="array" ref="AN364">SUM(IF('2014-2017 Projects'!$J$5:$J$158="Health Services",'2014-2017 Projects'!$CE$5:$CE$158,0))</f>
        <v>0</v>
      </c>
      <c r="AO364" s="170">
        <f t="array" ref="AO364">SUM(IF('2014-2017 Projects'!$J$5:$J$158="Health Services",'2014-2017 Projects'!$CF$5:$CF$158,0))</f>
        <v>0</v>
      </c>
    </row>
    <row r="365" spans="1:48">
      <c r="A365" s="171" t="s">
        <v>77</v>
      </c>
      <c r="B365" s="170" t="e">
        <f t="array" ref="B365">SUM(IF('[5]2013-2016 Projects'!$E$4:$E$202="Public Safety",'[5]2013-2016 Projects'!$V$4:$V$202,0))</f>
        <v>#REF!</v>
      </c>
      <c r="C365" s="170" t="e">
        <f t="array" ref="C365">SUM(IF('[5]2013-2016 Projects'!$E$4:$E$202="Public Safety",'[5]2013-2016 Projects'!$V$4:$V$202,0))</f>
        <v>#REF!</v>
      </c>
      <c r="D365" s="170">
        <f t="array" ref="D365">SUM(IF('2014-2017 Projects'!$J$5:$J$158="Public Safety",'2014-2017 Projects'!$AG$5:$AG$158,0))</f>
        <v>2750000</v>
      </c>
      <c r="E365" s="170">
        <f t="array" ref="E365">SUM(IF('2014-2017 Projects'!$J$5:$J$158="Public Safety",'2014-2017 Projects'!$AH$5:$AH$158,0))</f>
        <v>-2000000</v>
      </c>
      <c r="F365" s="170">
        <f t="array" ref="F365">SUM(IF('2014-2017 Projects'!$J$5:$J$158="Public Safety",'2014-2017 Projects'!$AI$5:$AI$158,0))</f>
        <v>750000</v>
      </c>
      <c r="G365" s="170">
        <f t="array" ref="G365">SUM(IF('2014-2017 Projects'!$J$5:$J$158="Waste Management",'2014-2017 Projects'!$AG$5:$AG$158,0))</f>
        <v>14240000</v>
      </c>
      <c r="H365" s="170">
        <f t="array" ref="H365">SUM(IF('2014-2017 Projects'!$J$5:$J$158="Public Safety",'2014-2017 Projects'!$AK$5:$AK$158,0))</f>
        <v>9800000</v>
      </c>
      <c r="I365" s="170">
        <f t="array" ref="I365">SUM(IF('2014-2017 Projects'!$J$5:$J$158="Public Safety",'2014-2017 Projects'!$AL$5:$AL$158,0))</f>
        <v>1102.6300000000001</v>
      </c>
      <c r="J365" s="170">
        <f t="array" ref="J365">SUM(IF('2014-2017 Projects'!$J$5:$J$158="Public Safety",'2014-2017 Projects'!$AN$5:$AN$158,0))</f>
        <v>1102.6300000000001</v>
      </c>
      <c r="K365" s="170"/>
      <c r="L365" s="170"/>
      <c r="M365" s="170"/>
      <c r="N365" s="170"/>
      <c r="O365" s="170"/>
      <c r="P365" s="170"/>
      <c r="Q365" s="170"/>
      <c r="R365" s="170"/>
      <c r="S365" s="170"/>
      <c r="T365" s="170"/>
      <c r="U365" s="170"/>
      <c r="V365" s="170"/>
      <c r="W365" s="170"/>
      <c r="X365" s="170"/>
      <c r="Y365" s="170"/>
      <c r="Z365" s="170"/>
      <c r="AA365" s="170"/>
      <c r="AB365" s="170"/>
      <c r="AC365" s="170"/>
      <c r="AD365" s="170"/>
      <c r="AE365" s="170"/>
      <c r="AF365" s="170"/>
      <c r="AG365" s="328">
        <f t="shared" si="89"/>
        <v>1102.6300000000001</v>
      </c>
      <c r="AH365" s="328">
        <f t="shared" si="90"/>
        <v>1102.6300000000001</v>
      </c>
      <c r="AI365" s="170">
        <f t="array" ref="AI365">SUM(IF('2014-2017 Projects'!$J$5:$J$158="Public Safety",'2014-2017 Projects'!$BV$5:$BV$158,0))</f>
        <v>0</v>
      </c>
      <c r="AJ365" s="328">
        <f t="shared" si="91"/>
        <v>9798897.3699999992</v>
      </c>
      <c r="AK365" s="328">
        <f t="shared" si="92"/>
        <v>9798897.3699999992</v>
      </c>
      <c r="AL365" s="453">
        <f t="shared" si="93"/>
        <v>1.1251326530612246E-4</v>
      </c>
      <c r="AM365" s="453">
        <f t="shared" si="94"/>
        <v>1.1251326530612246E-4</v>
      </c>
      <c r="AN365" s="170">
        <f t="array" ref="AN365">SUM(IF('2014-2017 Projects'!$J$5:$J$158="Public Safety",'2014-2017 Projects'!$CE$5:$CE$158,0))</f>
        <v>12500000</v>
      </c>
      <c r="AO365" s="170">
        <f t="array" ref="AO365">SUM(IF('2014-2017 Projects'!$J$5:$J$158="Public Safety",'2014-2017 Projects'!$CF$5:$CF$158,0))</f>
        <v>25200000</v>
      </c>
    </row>
    <row r="366" spans="1:48">
      <c r="A366" s="235" t="s">
        <v>72</v>
      </c>
      <c r="B366" s="170" t="e">
        <f t="array" ref="B366">SUM(IF('[5]2013-2016 Projects'!$E$4:$E$202="Support Services",'[5]2013-2016 Projects'!$V$4:$V$202,0))</f>
        <v>#REF!</v>
      </c>
      <c r="C366" s="170" t="e">
        <f t="array" ref="C366">SUM(IF('[5]2013-2016 Projects'!$E$4:$E$202="Support Services",'[5]2013-2016 Projects'!$V$4:$V$202,0))</f>
        <v>#REF!</v>
      </c>
      <c r="D366" s="170">
        <f t="array" ref="D366">SUM(IF('2014-2017 Projects'!$J$5:$J$158="Support Services",'2014-2017 Projects'!$AG$5:$AG$158,0))</f>
        <v>19350000</v>
      </c>
      <c r="E366" s="170">
        <f t="array" ref="E366">SUM(IF('2014-2017 Projects'!$J$5:$J$158="Support Services",'2014-2017 Projects'!$AH$5:$AH$158,0))</f>
        <v>-10000000</v>
      </c>
      <c r="F366" s="170">
        <f t="array" ref="F366">SUM(IF('2014-2017 Projects'!$J$5:$J$158="Support Services",'2014-2017 Projects'!$AI$5:$AI$158,0))</f>
        <v>9350000</v>
      </c>
      <c r="G366" s="170">
        <f t="array" ref="G366">SUM(IF('2014-2017 Projects'!$J$5:$J$158="Waste Management",'2014-2017 Projects'!$AG$5:$AG$158,0))</f>
        <v>14240000</v>
      </c>
      <c r="H366" s="170">
        <f t="array" ref="H366">SUM(IF('2014-2017 Projects'!$J$5:$J$158="Support Services",'2014-2017 Projects'!$AK$5:$AK$158,0))</f>
        <v>36150000</v>
      </c>
      <c r="I366" s="170">
        <f t="array" ref="I366">SUM(IF('2014-2017 Projects'!$J$5:$J$158="Support Services",'2014-2017 Projects'!$AL$5:$AL$158,0))</f>
        <v>19074.32</v>
      </c>
      <c r="J366" s="170">
        <f t="array" ref="J366">SUM(IF('2014-2017 Projects'!$J$5:$J$158="Support Services",'2014-2017 Projects'!$AN$5:$AN$158,0))</f>
        <v>19074.32</v>
      </c>
      <c r="K366" s="170"/>
      <c r="L366" s="170"/>
      <c r="M366" s="170"/>
      <c r="N366" s="170"/>
      <c r="O366" s="170"/>
      <c r="P366" s="170"/>
      <c r="Q366" s="170"/>
      <c r="R366" s="170"/>
      <c r="S366" s="170"/>
      <c r="T366" s="170"/>
      <c r="U366" s="170"/>
      <c r="V366" s="170"/>
      <c r="W366" s="170"/>
      <c r="X366" s="170"/>
      <c r="Y366" s="170"/>
      <c r="Z366" s="170"/>
      <c r="AA366" s="170"/>
      <c r="AB366" s="170"/>
      <c r="AC366" s="170"/>
      <c r="AD366" s="170"/>
      <c r="AE366" s="170"/>
      <c r="AF366" s="170"/>
      <c r="AG366" s="328">
        <f t="shared" si="89"/>
        <v>19074.32</v>
      </c>
      <c r="AH366" s="328">
        <f t="shared" si="90"/>
        <v>19074.32</v>
      </c>
      <c r="AI366" s="170">
        <f t="array" ref="AI366">SUM(IF('2014-2017 Projects'!$J$5:$J$158="Support Services",'2014-2017 Projects'!$BV$5:$BV$158,0))</f>
        <v>19586.3</v>
      </c>
      <c r="AJ366" s="328">
        <f t="shared" si="91"/>
        <v>36130925.68</v>
      </c>
      <c r="AK366" s="328">
        <f t="shared" si="92"/>
        <v>36130925.68</v>
      </c>
      <c r="AL366" s="453">
        <f t="shared" si="93"/>
        <v>5.2764370677731674E-4</v>
      </c>
      <c r="AM366" s="453">
        <f t="shared" si="94"/>
        <v>5.2764370677731674E-4</v>
      </c>
      <c r="AN366" s="170">
        <f t="array" ref="AN366">SUM(IF('2014-2017 Projects'!$J$5:$J$158="Support Services",'2014-2017 Projects'!$CE$5:$CE$158,0))</f>
        <v>54978000</v>
      </c>
      <c r="AO366" s="170">
        <f t="array" ref="AO366">SUM(IF('2014-2017 Projects'!$J$5:$J$158="Support Services",'2014-2017 Projects'!$CF$5:$CF$158,0))</f>
        <v>52444000</v>
      </c>
    </row>
    <row r="367" spans="1:48">
      <c r="A367" s="235" t="s">
        <v>400</v>
      </c>
      <c r="B367" s="170" t="e">
        <f t="array" ref="B367">SUM(IF('[5]2013-2016 Projects'!$E$4:$E$202="Other",'[5]2013-2016 Projects'!$V$4:$V$202,0))</f>
        <v>#REF!</v>
      </c>
      <c r="C367" s="170" t="e">
        <f t="array" ref="C367">SUM(IF('[5]2013-2016 Projects'!$E$4:$E$202="Other",'[5]2013-2016 Projects'!$V$4:$V$202,0))</f>
        <v>#REF!</v>
      </c>
      <c r="D367" s="170">
        <f t="array" ref="D367">SUM(IF('2014-2017 Projects'!$J$5:$J$158="Other - BCM Fleet",'2014-2017 Projects'!$AG$5:$AG$158,0))</f>
        <v>33000000</v>
      </c>
      <c r="E367" s="170">
        <f t="array" ref="E367">SUM(IF('2014-2017 Projects'!$J$5:$J$158="Other - BCM Fleet",'2014-2017 Projects'!$AH$5:$AH$158,0))</f>
        <v>3500000</v>
      </c>
      <c r="F367" s="170">
        <f t="array" ref="F367">SUM(IF('2014-2017 Projects'!$J$5:$J$158="Other - BCM Fleet",'2014-2017 Projects'!$AI$5:$AI$158,0))</f>
        <v>36500000</v>
      </c>
      <c r="G367" s="170">
        <f t="array" ref="G367">SUM(IF('2014-2017 Projects'!$J$5:$J$158="Other - BCM Fleet",'2014-2017 Projects'!$AG$5:$AG$158,0))</f>
        <v>33000000</v>
      </c>
      <c r="H367" s="170">
        <f t="array" ref="H367">SUM(IF('2014-2017 Projects'!$J$5:$J$158="Other - BCM Fleet",'2014-2017 Projects'!$AK$5:$AK$158,0))</f>
        <v>28300000</v>
      </c>
      <c r="I367" s="170">
        <f t="array" ref="I367">SUM(IF('2014-2017 Projects'!$J$5:$J$158="Other - BCM Fleet",'2014-2017 Projects'!$AL$5:$AL$158,0))</f>
        <v>0</v>
      </c>
      <c r="J367" s="170">
        <f t="array" ref="J367">SUM(IF('2014-2017 Projects'!$J$5:$J$158="Other - BCM Fleet",'2014-2017 Projects'!$AN$5:$AN$158,0))</f>
        <v>0</v>
      </c>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328">
        <f t="shared" si="89"/>
        <v>0</v>
      </c>
      <c r="AH367" s="328">
        <f t="shared" si="90"/>
        <v>0</v>
      </c>
      <c r="AI367" s="170">
        <f t="array" ref="AI367">SUM(IF('2014-2017 Projects'!$J$5:$J$158="Other - BCM Fleet",'2014-2017 Projects'!$BV$5:$BV$158,0))</f>
        <v>0</v>
      </c>
      <c r="AJ367" s="328">
        <f t="shared" si="91"/>
        <v>28300000</v>
      </c>
      <c r="AK367" s="328">
        <f t="shared" si="92"/>
        <v>28300000</v>
      </c>
      <c r="AL367" s="453">
        <f t="shared" si="93"/>
        <v>0</v>
      </c>
      <c r="AM367" s="453">
        <f t="shared" si="94"/>
        <v>0</v>
      </c>
      <c r="AN367" s="170">
        <f t="array" ref="AN367">SUM(IF('2014-2017 Projects'!$J$5:$J$158="Other - BCM Fleet",'2014-2017 Projects'!$CE$5:$CE$158,0))</f>
        <v>48000000</v>
      </c>
      <c r="AO367" s="170">
        <f t="array" ref="AO367">SUM(IF('2014-2017 Projects'!$J$5:$J$158="Other - BCM Fleet",'2014-2017 Projects'!$CF$5:$CF$158,0))</f>
        <v>48000000</v>
      </c>
    </row>
    <row r="368" spans="1:48" ht="13.5" thickBot="1">
      <c r="A368" s="171"/>
      <c r="B368" s="236" t="e">
        <f>SUM(B355:B367)</f>
        <v>#REF!</v>
      </c>
      <c r="C368" s="236" t="e">
        <f>SUM(C355:C367)</f>
        <v>#REF!</v>
      </c>
      <c r="D368" s="236">
        <f>SUM(D355:D367)</f>
        <v>286623214.88</v>
      </c>
      <c r="E368" s="236">
        <f>SUM(E355:E367)</f>
        <v>12199892</v>
      </c>
      <c r="F368" s="236">
        <f>SUM(F355:F367)</f>
        <v>298823106.88</v>
      </c>
      <c r="G368" s="236"/>
      <c r="H368" s="236">
        <f>SUM(H355:H367)</f>
        <v>942007423</v>
      </c>
      <c r="I368" s="236">
        <f t="shared" ref="I368:AK368" si="95">SUM(I355:I367)</f>
        <v>4279296.1500000004</v>
      </c>
      <c r="J368" s="236">
        <f t="shared" si="95"/>
        <v>4583715.4000000004</v>
      </c>
      <c r="K368" s="236">
        <f t="shared" si="95"/>
        <v>0</v>
      </c>
      <c r="L368" s="236">
        <f t="shared" si="95"/>
        <v>0</v>
      </c>
      <c r="M368" s="236">
        <f t="shared" si="95"/>
        <v>0</v>
      </c>
      <c r="N368" s="236">
        <f t="shared" si="95"/>
        <v>0</v>
      </c>
      <c r="O368" s="236">
        <f t="shared" si="95"/>
        <v>0</v>
      </c>
      <c r="P368" s="236">
        <f t="shared" si="95"/>
        <v>0</v>
      </c>
      <c r="Q368" s="236">
        <f t="shared" si="95"/>
        <v>0</v>
      </c>
      <c r="R368" s="236">
        <f t="shared" si="95"/>
        <v>0</v>
      </c>
      <c r="S368" s="236">
        <f t="shared" si="95"/>
        <v>0</v>
      </c>
      <c r="T368" s="236">
        <f t="shared" si="95"/>
        <v>0</v>
      </c>
      <c r="U368" s="236">
        <f t="shared" si="95"/>
        <v>0</v>
      </c>
      <c r="V368" s="236">
        <f t="shared" si="95"/>
        <v>0</v>
      </c>
      <c r="W368" s="236">
        <f t="shared" si="95"/>
        <v>0</v>
      </c>
      <c r="X368" s="236">
        <f t="shared" si="95"/>
        <v>0</v>
      </c>
      <c r="Y368" s="236">
        <f t="shared" si="95"/>
        <v>0</v>
      </c>
      <c r="Z368" s="236">
        <f t="shared" si="95"/>
        <v>0</v>
      </c>
      <c r="AA368" s="236">
        <f t="shared" si="95"/>
        <v>0</v>
      </c>
      <c r="AB368" s="236">
        <f t="shared" si="95"/>
        <v>0</v>
      </c>
      <c r="AC368" s="236">
        <f t="shared" si="95"/>
        <v>0</v>
      </c>
      <c r="AD368" s="236">
        <f t="shared" si="95"/>
        <v>0</v>
      </c>
      <c r="AE368" s="236">
        <f t="shared" si="95"/>
        <v>0</v>
      </c>
      <c r="AF368" s="236">
        <f t="shared" si="95"/>
        <v>0</v>
      </c>
      <c r="AG368" s="236">
        <f t="shared" si="95"/>
        <v>4279296.1500000004</v>
      </c>
      <c r="AH368" s="236">
        <f t="shared" si="95"/>
        <v>4583715.4000000004</v>
      </c>
      <c r="AI368" s="236">
        <f>SUM(AI355:AI367)</f>
        <v>5180679.37</v>
      </c>
      <c r="AJ368" s="236">
        <f t="shared" si="95"/>
        <v>937728126.8499999</v>
      </c>
      <c r="AK368" s="236">
        <f t="shared" si="95"/>
        <v>937423707.5999999</v>
      </c>
      <c r="AL368" s="455">
        <f t="shared" si="93"/>
        <v>4.5427414323039794E-3</v>
      </c>
      <c r="AM368" s="455">
        <f t="shared" si="94"/>
        <v>4.8659015715633068E-3</v>
      </c>
      <c r="AN368" s="236">
        <f>SUM(AN355:AN367)</f>
        <v>1024127261</v>
      </c>
      <c r="AO368" s="236">
        <f>SUM(AO355:AO367)</f>
        <v>1069226151</v>
      </c>
    </row>
    <row r="369" spans="1:43" ht="13.5" hidden="1" thickTop="1">
      <c r="A369" s="167"/>
      <c r="B369" s="237"/>
      <c r="C369" s="237"/>
      <c r="D369" s="315">
        <f t="shared" ref="D369:AQ369" si="96">+D368-D149</f>
        <v>81695940</v>
      </c>
      <c r="E369" s="315">
        <f t="shared" si="96"/>
        <v>-800000</v>
      </c>
      <c r="F369" s="315">
        <f t="shared" si="96"/>
        <v>80895940</v>
      </c>
      <c r="G369" s="315">
        <f t="shared" si="96"/>
        <v>-62830943</v>
      </c>
      <c r="H369" s="315">
        <f t="shared" si="96"/>
        <v>0</v>
      </c>
      <c r="I369" s="315"/>
      <c r="J369" s="315"/>
      <c r="K369" s="315"/>
      <c r="L369" s="315"/>
      <c r="M369" s="315"/>
      <c r="N369" s="315"/>
      <c r="O369" s="315"/>
      <c r="P369" s="315"/>
      <c r="Q369" s="315"/>
      <c r="R369" s="315"/>
      <c r="S369" s="315"/>
      <c r="T369" s="315"/>
      <c r="U369" s="315"/>
      <c r="V369" s="315"/>
      <c r="W369" s="315"/>
      <c r="X369" s="315"/>
      <c r="Y369" s="315"/>
      <c r="Z369" s="315"/>
      <c r="AA369" s="315"/>
      <c r="AB369" s="315"/>
      <c r="AC369" s="315"/>
      <c r="AD369" s="315"/>
      <c r="AE369" s="315"/>
      <c r="AF369" s="315"/>
      <c r="AG369" s="315"/>
      <c r="AH369" s="315"/>
      <c r="AI369" s="315"/>
      <c r="AJ369" s="315"/>
      <c r="AK369" s="315"/>
      <c r="AL369" s="454" t="e">
        <f t="shared" si="93"/>
        <v>#DIV/0!</v>
      </c>
      <c r="AM369" s="454" t="e">
        <f t="shared" si="94"/>
        <v>#DIV/0!</v>
      </c>
      <c r="AN369" s="315">
        <f t="shared" si="96"/>
        <v>0</v>
      </c>
      <c r="AO369" s="315">
        <f t="shared" si="96"/>
        <v>0</v>
      </c>
      <c r="AP369" s="314">
        <f t="shared" si="96"/>
        <v>0</v>
      </c>
      <c r="AQ369" s="314">
        <f t="shared" si="96"/>
        <v>-875461466</v>
      </c>
    </row>
    <row r="370" spans="1:43" ht="15" thickTop="1" thickBot="1">
      <c r="A370" s="239"/>
      <c r="B370" s="239"/>
      <c r="C370" s="239"/>
      <c r="D370" s="239"/>
      <c r="E370" s="239"/>
      <c r="F370" s="239"/>
      <c r="G370" s="239"/>
      <c r="H370" s="239"/>
      <c r="I370" s="239"/>
      <c r="J370" s="239"/>
      <c r="K370" s="239"/>
      <c r="L370" s="239"/>
      <c r="M370" s="239"/>
      <c r="N370" s="239"/>
      <c r="O370" s="239"/>
      <c r="P370" s="239"/>
      <c r="Q370" s="239"/>
      <c r="R370" s="239"/>
      <c r="S370" s="239"/>
      <c r="T370" s="239"/>
      <c r="U370" s="239"/>
      <c r="V370" s="239"/>
      <c r="W370" s="239"/>
      <c r="X370" s="239"/>
      <c r="Y370" s="239"/>
      <c r="Z370" s="239"/>
      <c r="AA370" s="239"/>
      <c r="AB370" s="239"/>
      <c r="AC370" s="239"/>
      <c r="AD370" s="239"/>
      <c r="AE370" s="239"/>
      <c r="AF370" s="239"/>
      <c r="AG370" s="239"/>
      <c r="AH370" s="239"/>
      <c r="AI370" s="488"/>
      <c r="AJ370" s="239"/>
      <c r="AK370" s="239"/>
      <c r="AL370" s="239"/>
      <c r="AM370" s="239"/>
      <c r="AN370" s="239"/>
      <c r="AO370" s="239"/>
    </row>
    <row r="371" spans="1:43" ht="48">
      <c r="A371" s="240" t="s">
        <v>404</v>
      </c>
      <c r="B371" s="141" t="s">
        <v>297</v>
      </c>
      <c r="C371" s="141" t="s">
        <v>297</v>
      </c>
      <c r="D371" s="141" t="s">
        <v>297</v>
      </c>
      <c r="E371" s="141" t="s">
        <v>297</v>
      </c>
      <c r="F371" s="141" t="s">
        <v>297</v>
      </c>
      <c r="G371" s="141"/>
      <c r="H371" s="141" t="s">
        <v>616</v>
      </c>
      <c r="I371" s="452" t="s">
        <v>589</v>
      </c>
      <c r="J371" s="452" t="s">
        <v>590</v>
      </c>
      <c r="K371" s="452" t="s">
        <v>592</v>
      </c>
      <c r="L371" s="452" t="s">
        <v>593</v>
      </c>
      <c r="M371" s="452" t="s">
        <v>594</v>
      </c>
      <c r="N371" s="452" t="s">
        <v>595</v>
      </c>
      <c r="O371" s="452" t="s">
        <v>596</v>
      </c>
      <c r="P371" s="452" t="s">
        <v>597</v>
      </c>
      <c r="Q371" s="452" t="s">
        <v>598</v>
      </c>
      <c r="R371" s="452" t="s">
        <v>599</v>
      </c>
      <c r="S371" s="452" t="s">
        <v>600</v>
      </c>
      <c r="T371" s="452" t="s">
        <v>601</v>
      </c>
      <c r="U371" s="452" t="s">
        <v>603</v>
      </c>
      <c r="V371" s="452" t="s">
        <v>604</v>
      </c>
      <c r="W371" s="452" t="s">
        <v>605</v>
      </c>
      <c r="X371" s="452" t="s">
        <v>606</v>
      </c>
      <c r="Y371" s="452" t="s">
        <v>607</v>
      </c>
      <c r="Z371" s="452" t="s">
        <v>608</v>
      </c>
      <c r="AA371" s="452" t="s">
        <v>610</v>
      </c>
      <c r="AB371" s="452" t="s">
        <v>609</v>
      </c>
      <c r="AC371" s="452" t="s">
        <v>611</v>
      </c>
      <c r="AD371" s="452" t="s">
        <v>612</v>
      </c>
      <c r="AE371" s="452" t="s">
        <v>613</v>
      </c>
      <c r="AF371" s="452" t="s">
        <v>614</v>
      </c>
      <c r="AG371" s="452" t="s">
        <v>203</v>
      </c>
      <c r="AH371" s="452" t="s">
        <v>618</v>
      </c>
      <c r="AI371" s="452" t="s">
        <v>220</v>
      </c>
      <c r="AJ371" s="452" t="s">
        <v>619</v>
      </c>
      <c r="AK371" s="452" t="s">
        <v>620</v>
      </c>
      <c r="AL371" s="452" t="s">
        <v>621</v>
      </c>
      <c r="AM371" s="452" t="s">
        <v>622</v>
      </c>
      <c r="AN371" s="140" t="s">
        <v>302</v>
      </c>
      <c r="AO371" s="140" t="s">
        <v>411</v>
      </c>
    </row>
    <row r="372" spans="1:43">
      <c r="A372" s="241"/>
      <c r="B372" s="238"/>
      <c r="C372" s="238"/>
      <c r="D372" s="238"/>
      <c r="E372" s="238"/>
      <c r="F372" s="238"/>
      <c r="G372" s="238"/>
      <c r="H372" s="238"/>
      <c r="I372" s="238"/>
      <c r="J372" s="238"/>
      <c r="K372" s="238"/>
      <c r="L372" s="238"/>
      <c r="M372" s="238"/>
      <c r="N372" s="238"/>
      <c r="O372" s="238"/>
      <c r="P372" s="238"/>
      <c r="Q372" s="238"/>
      <c r="R372" s="238"/>
      <c r="S372" s="238"/>
      <c r="T372" s="238"/>
      <c r="U372" s="238"/>
      <c r="V372" s="238"/>
      <c r="W372" s="238"/>
      <c r="X372" s="238"/>
      <c r="Y372" s="238"/>
      <c r="Z372" s="238"/>
      <c r="AA372" s="238"/>
      <c r="AB372" s="238"/>
      <c r="AC372" s="238"/>
      <c r="AD372" s="238"/>
      <c r="AE372" s="238"/>
      <c r="AF372" s="238"/>
      <c r="AG372" s="238"/>
      <c r="AH372" s="238"/>
      <c r="AI372" s="238"/>
      <c r="AJ372" s="238"/>
      <c r="AK372" s="238"/>
      <c r="AL372" s="238"/>
      <c r="AM372" s="238"/>
      <c r="AN372" s="238"/>
      <c r="AO372" s="238"/>
    </row>
    <row r="373" spans="1:43">
      <c r="A373" s="242" t="s">
        <v>405</v>
      </c>
      <c r="B373" s="170" t="e">
        <f t="array" ref="B373">SUM(IF('[5]2013-2016 Projects'!$R$4:$R$202="KPA1",'[5]2013-2016 Projects'!$V$4:$V$202,0))</f>
        <v>#REF!</v>
      </c>
      <c r="C373" s="170" t="e">
        <f t="array" ref="C373">SUM(IF('[5]2013-2016 Projects'!$R$4:$R$202="KPA1",'[5]2013-2016 Projects'!$V$4:$V$202,0))</f>
        <v>#REF!</v>
      </c>
      <c r="D373" s="170" t="e">
        <f t="array" ref="D373">SUM(IF('[5]2013-2016 Projects'!$R$4:$R$202="KPA1",'[5]2013-2016 Projects'!$V$4:$V$202,0))</f>
        <v>#REF!</v>
      </c>
      <c r="E373" s="170" t="e">
        <f t="array" ref="E373">SUM(IF('[5]2013-2016 Projects'!$R$4:$R$202="KPA1",'[5]2013-2016 Projects'!$V$4:$V$202,0))</f>
        <v>#REF!</v>
      </c>
      <c r="F373" s="170" t="e">
        <f t="array" ref="F373">SUM(IF('[5]2013-2016 Projects'!$R$4:$R$202="KPA1",'[5]2013-2016 Projects'!$V$4:$V$202,0))</f>
        <v>#REF!</v>
      </c>
      <c r="G373" s="170"/>
      <c r="H373" s="328">
        <f t="array" ref="H373">SUM(IF('2014-2017 Projects'!$Y$5:$Y$158="KPA1",'2014-2017 Projects'!$AK$5:$AK$158,0))</f>
        <v>15100000</v>
      </c>
      <c r="I373" s="328"/>
      <c r="J373" s="328"/>
      <c r="K373" s="328"/>
      <c r="L373" s="328"/>
      <c r="M373" s="328"/>
      <c r="N373" s="328"/>
      <c r="O373" s="328"/>
      <c r="P373" s="328"/>
      <c r="Q373" s="328"/>
      <c r="R373" s="328"/>
      <c r="S373" s="328"/>
      <c r="T373" s="328"/>
      <c r="U373" s="328"/>
      <c r="V373" s="328"/>
      <c r="W373" s="328"/>
      <c r="X373" s="328"/>
      <c r="Y373" s="328"/>
      <c r="Z373" s="328"/>
      <c r="AA373" s="328"/>
      <c r="AB373" s="328"/>
      <c r="AC373" s="328"/>
      <c r="AD373" s="328"/>
      <c r="AE373" s="328"/>
      <c r="AF373" s="328"/>
      <c r="AG373" s="328"/>
      <c r="AH373" s="328"/>
      <c r="AI373" s="328"/>
      <c r="AJ373" s="328"/>
      <c r="AK373" s="328"/>
      <c r="AL373" s="453">
        <f t="shared" ref="AL373" si="97">AG373/H373</f>
        <v>0</v>
      </c>
      <c r="AM373" s="453">
        <f t="shared" ref="AM373" si="98">AH373/H373</f>
        <v>0</v>
      </c>
      <c r="AN373" s="328">
        <f t="array" ref="AN373">SUM(IF('2014-2017 Projects'!$Y$5:$Y$158="KPA1",'2014-2017 Projects'!$CE$5:$CE$158,0))</f>
        <v>22100000</v>
      </c>
      <c r="AO373" s="328">
        <f t="array" ref="AO373">SUM(IF('2014-2017 Projects'!$Y$5:$Y$158="KPA1",'2014-2017 Projects'!$CF$5:$CF$158,0))</f>
        <v>20200000</v>
      </c>
    </row>
    <row r="374" spans="1:43">
      <c r="A374" s="242" t="s">
        <v>406</v>
      </c>
      <c r="B374" s="170" t="e">
        <f t="array" ref="B374">SUM(IF('[5]2013-2016 Projects'!$R$4:$R$202="KPA2",'[5]2013-2016 Projects'!$V$4:$V$202,0))</f>
        <v>#REF!</v>
      </c>
      <c r="C374" s="170" t="e">
        <f t="array" ref="C374">SUM(IF('[5]2013-2016 Projects'!$R$4:$R$202="KPA2",'[5]2013-2016 Projects'!$V$4:$V$202,0))</f>
        <v>#REF!</v>
      </c>
      <c r="D374" s="170" t="e">
        <f t="array" ref="D374">SUM(IF('[5]2013-2016 Projects'!$R$4:$R$202="KPA2",'[5]2013-2016 Projects'!$V$4:$V$202,0))</f>
        <v>#REF!</v>
      </c>
      <c r="E374" s="170" t="e">
        <f t="array" ref="E374">SUM(IF('[5]2013-2016 Projects'!$R$4:$R$202="KPA2",'[5]2013-2016 Projects'!$V$4:$V$202,0))</f>
        <v>#REF!</v>
      </c>
      <c r="F374" s="170" t="e">
        <f t="array" ref="F374">SUM(IF('[5]2013-2016 Projects'!$R$4:$R$202="KPA2",'[5]2013-2016 Projects'!$V$4:$V$202,0))</f>
        <v>#REF!</v>
      </c>
      <c r="G374" s="170"/>
      <c r="H374" s="328">
        <f t="array" ref="H374">SUM(IF('2014-2017 Projects'!$Y$5:$Y$158="KPA2",'2014-2017 Projects'!$AK$5:$AK$158,0))</f>
        <v>903557423</v>
      </c>
      <c r="I374" s="328"/>
      <c r="J374" s="328"/>
      <c r="K374" s="328"/>
      <c r="L374" s="328"/>
      <c r="M374" s="328"/>
      <c r="N374" s="328"/>
      <c r="O374" s="328"/>
      <c r="P374" s="328"/>
      <c r="Q374" s="328"/>
      <c r="R374" s="328"/>
      <c r="S374" s="328"/>
      <c r="T374" s="328"/>
      <c r="U374" s="328"/>
      <c r="V374" s="328"/>
      <c r="W374" s="328"/>
      <c r="X374" s="328"/>
      <c r="Y374" s="328"/>
      <c r="Z374" s="328"/>
      <c r="AA374" s="328"/>
      <c r="AB374" s="328"/>
      <c r="AC374" s="328"/>
      <c r="AD374" s="328"/>
      <c r="AE374" s="328"/>
      <c r="AF374" s="328"/>
      <c r="AG374" s="328"/>
      <c r="AH374" s="328"/>
      <c r="AI374" s="328"/>
      <c r="AJ374" s="328"/>
      <c r="AK374" s="328"/>
      <c r="AL374" s="453">
        <f t="shared" ref="AL374:AL378" si="99">AG374/H374</f>
        <v>0</v>
      </c>
      <c r="AM374" s="453">
        <f t="shared" ref="AM374:AM378" si="100">AH374/H374</f>
        <v>0</v>
      </c>
      <c r="AN374" s="328">
        <f t="array" ref="AN374">SUM(IF('2014-2017 Projects'!$Y$5:$Y$158="KPA2",'2014-2017 Projects'!$CE$5:$CE$158,0))</f>
        <v>979027261</v>
      </c>
      <c r="AO374" s="328">
        <f t="array" ref="AO374">SUM(IF('2014-2017 Projects'!$Y$5:$Y$158="KPA2",'2014-2017 Projects'!$CF$5:$CF$158,0))</f>
        <v>1027526151</v>
      </c>
    </row>
    <row r="375" spans="1:43">
      <c r="A375" s="242" t="s">
        <v>407</v>
      </c>
      <c r="B375" s="170" t="e">
        <f t="array" ref="B375">SUM(IF('[5]2013-2016 Projects'!$R$4:$R$202="KPA3",'[5]2013-2016 Projects'!$V$4:$V$202,0))</f>
        <v>#REF!</v>
      </c>
      <c r="C375" s="170" t="e">
        <f t="array" ref="C375">SUM(IF('[5]2013-2016 Projects'!$R$4:$R$202="KPA3",'[5]2013-2016 Projects'!$V$4:$V$202,0))</f>
        <v>#REF!</v>
      </c>
      <c r="D375" s="170" t="e">
        <f t="array" ref="D375">SUM(IF('[5]2013-2016 Projects'!$R$4:$R$202="KPA3",'[5]2013-2016 Projects'!$V$4:$V$202,0))</f>
        <v>#REF!</v>
      </c>
      <c r="E375" s="170" t="e">
        <f t="array" ref="E375">SUM(IF('[5]2013-2016 Projects'!$R$4:$R$202="KPA3",'[5]2013-2016 Projects'!$V$4:$V$202,0))</f>
        <v>#REF!</v>
      </c>
      <c r="F375" s="170" t="e">
        <f t="array" ref="F375">SUM(IF('[5]2013-2016 Projects'!$R$4:$R$202="KPA3",'[5]2013-2016 Projects'!$V$4:$V$202,0))</f>
        <v>#REF!</v>
      </c>
      <c r="G375" s="170"/>
      <c r="H375" s="328">
        <f t="array" ref="H375">SUM(IF('2014-2017 Projects'!$Y$5:$Y$158="KPA3",'2014-2017 Projects'!$AK$5:$AK$158,0))</f>
        <v>10000000</v>
      </c>
      <c r="I375" s="328"/>
      <c r="J375" s="328"/>
      <c r="K375" s="328"/>
      <c r="L375" s="328"/>
      <c r="M375" s="328"/>
      <c r="N375" s="328"/>
      <c r="O375" s="328"/>
      <c r="P375" s="328"/>
      <c r="Q375" s="328"/>
      <c r="R375" s="328"/>
      <c r="S375" s="328"/>
      <c r="T375" s="328"/>
      <c r="U375" s="328"/>
      <c r="V375" s="328"/>
      <c r="W375" s="328"/>
      <c r="X375" s="328"/>
      <c r="Y375" s="328"/>
      <c r="Z375" s="328"/>
      <c r="AA375" s="328"/>
      <c r="AB375" s="328"/>
      <c r="AC375" s="328"/>
      <c r="AD375" s="328"/>
      <c r="AE375" s="328"/>
      <c r="AF375" s="328"/>
      <c r="AG375" s="328"/>
      <c r="AH375" s="328"/>
      <c r="AI375" s="328"/>
      <c r="AJ375" s="328"/>
      <c r="AK375" s="328"/>
      <c r="AL375" s="453">
        <f t="shared" si="99"/>
        <v>0</v>
      </c>
      <c r="AM375" s="453">
        <f t="shared" si="100"/>
        <v>0</v>
      </c>
      <c r="AN375" s="328">
        <f t="array" ref="AN375">SUM(IF('2014-2017 Projects'!$Y$5:$Y$158="KPA3",'2014-2017 Projects'!$CE$5:$CE$158,0))</f>
        <v>10000000</v>
      </c>
      <c r="AO375" s="328">
        <f t="array" ref="AO375">SUM(IF('2014-2017 Projects'!$Y$5:$Y$158="KPA3",'2014-2017 Projects'!$CF$5:$CF$158,0))</f>
        <v>10000000</v>
      </c>
    </row>
    <row r="376" spans="1:43">
      <c r="A376" s="242" t="s">
        <v>408</v>
      </c>
      <c r="B376" s="170" t="e">
        <f t="array" ref="B376">SUM(IF('[5]2013-2016 Projects'!$R$4:$R$202="KPA4",'[5]2013-2016 Projects'!$V$4:$V$202,0))</f>
        <v>#REF!</v>
      </c>
      <c r="C376" s="170" t="e">
        <f t="array" ref="C376">SUM(IF('[5]2013-2016 Projects'!$R$4:$R$202="KPA4",'[5]2013-2016 Projects'!$V$4:$V$202,0))</f>
        <v>#REF!</v>
      </c>
      <c r="D376" s="170" t="e">
        <f t="array" ref="D376">SUM(IF('[5]2013-2016 Projects'!$R$4:$R$202="KPA4",'[5]2013-2016 Projects'!$V$4:$V$202,0))</f>
        <v>#REF!</v>
      </c>
      <c r="E376" s="170" t="e">
        <f t="array" ref="E376">SUM(IF('[5]2013-2016 Projects'!$R$4:$R$202="KPA4",'[5]2013-2016 Projects'!$V$4:$V$202,0))</f>
        <v>#REF!</v>
      </c>
      <c r="F376" s="170" t="e">
        <f t="array" ref="F376">SUM(IF('[5]2013-2016 Projects'!$R$4:$R$202="KPA4",'[5]2013-2016 Projects'!$V$4:$V$202,0))</f>
        <v>#REF!</v>
      </c>
      <c r="G376" s="170"/>
      <c r="H376" s="328">
        <f t="array" ref="H376">SUM(IF('2014-2017 Projects'!$Y$5:$Y$158="KPA4",'2014-2017 Projects'!$AK$5:$AK$158,0))</f>
        <v>12350000</v>
      </c>
      <c r="I376" s="328"/>
      <c r="J376" s="328"/>
      <c r="K376" s="328"/>
      <c r="L376" s="328"/>
      <c r="M376" s="328"/>
      <c r="N376" s="328"/>
      <c r="O376" s="328"/>
      <c r="P376" s="328"/>
      <c r="Q376" s="328"/>
      <c r="R376" s="328"/>
      <c r="S376" s="328"/>
      <c r="T376" s="328"/>
      <c r="U376" s="328"/>
      <c r="V376" s="328"/>
      <c r="W376" s="328"/>
      <c r="X376" s="328"/>
      <c r="Y376" s="328"/>
      <c r="Z376" s="328"/>
      <c r="AA376" s="328"/>
      <c r="AB376" s="328"/>
      <c r="AC376" s="328"/>
      <c r="AD376" s="328"/>
      <c r="AE376" s="328"/>
      <c r="AF376" s="328"/>
      <c r="AG376" s="328"/>
      <c r="AH376" s="328"/>
      <c r="AI376" s="328"/>
      <c r="AJ376" s="328"/>
      <c r="AK376" s="328"/>
      <c r="AL376" s="453">
        <f t="shared" si="99"/>
        <v>0</v>
      </c>
      <c r="AM376" s="453">
        <f t="shared" si="100"/>
        <v>0</v>
      </c>
      <c r="AN376" s="328">
        <f t="array" ref="AN376">SUM(IF('2014-2017 Projects'!$Y$5:$Y$158="KPA4",'2014-2017 Projects'!$CE$5:$CE$158,0))</f>
        <v>12000000</v>
      </c>
      <c r="AO376" s="328">
        <f t="array" ref="AO376">SUM(IF('2014-2017 Projects'!$Y$5:$Y$158="KPA4",'2014-2017 Projects'!$CF$5:$CF$158,0))</f>
        <v>10500000</v>
      </c>
    </row>
    <row r="377" spans="1:43">
      <c r="A377" s="242" t="s">
        <v>409</v>
      </c>
      <c r="B377" s="170" t="e">
        <f t="array" ref="B377">SUM(IF('[5]2013-2016 Projects'!$R$4:$R$202="KPA5",'[5]2013-2016 Projects'!$V$4:$V$202,0))</f>
        <v>#REF!</v>
      </c>
      <c r="C377" s="170" t="e">
        <f t="array" ref="C377">SUM(IF('[5]2013-2016 Projects'!$R$4:$R$202="KPA5",'[5]2013-2016 Projects'!$V$4:$V$202,0))</f>
        <v>#REF!</v>
      </c>
      <c r="D377" s="170" t="e">
        <f t="array" ref="D377">SUM(IF('[5]2013-2016 Projects'!$R$4:$R$202="KPA5",'[5]2013-2016 Projects'!$V$4:$V$202,0))</f>
        <v>#REF!</v>
      </c>
      <c r="E377" s="170" t="e">
        <f t="array" ref="E377">SUM(IF('[5]2013-2016 Projects'!$R$4:$R$202="KPA5",'[5]2013-2016 Projects'!$V$4:$V$202,0))</f>
        <v>#REF!</v>
      </c>
      <c r="F377" s="170" t="e">
        <f t="array" ref="F377">SUM(IF('[5]2013-2016 Projects'!$R$4:$R$202="KPA5",'[5]2013-2016 Projects'!$V$4:$V$202,0))</f>
        <v>#REF!</v>
      </c>
      <c r="G377" s="170"/>
      <c r="H377" s="328">
        <f t="array" ref="H377">SUM(IF('2014-2017 Projects'!$Y$5:$Y$158="KPA5",'2014-2017 Projects'!$AK$5:$AK$158,0))</f>
        <v>1000000</v>
      </c>
      <c r="I377" s="328"/>
      <c r="J377" s="328"/>
      <c r="K377" s="328"/>
      <c r="L377" s="328"/>
      <c r="M377" s="328"/>
      <c r="N377" s="328"/>
      <c r="O377" s="328"/>
      <c r="P377" s="328"/>
      <c r="Q377" s="328"/>
      <c r="R377" s="328"/>
      <c r="S377" s="328"/>
      <c r="T377" s="328"/>
      <c r="U377" s="328"/>
      <c r="V377" s="328"/>
      <c r="W377" s="328"/>
      <c r="X377" s="328"/>
      <c r="Y377" s="328"/>
      <c r="Z377" s="328"/>
      <c r="AA377" s="328"/>
      <c r="AB377" s="328"/>
      <c r="AC377" s="328"/>
      <c r="AD377" s="328"/>
      <c r="AE377" s="328"/>
      <c r="AF377" s="328"/>
      <c r="AG377" s="328"/>
      <c r="AH377" s="328"/>
      <c r="AI377" s="328"/>
      <c r="AJ377" s="328"/>
      <c r="AK377" s="328"/>
      <c r="AL377" s="453">
        <f t="shared" si="99"/>
        <v>0</v>
      </c>
      <c r="AM377" s="453">
        <f t="shared" si="100"/>
        <v>0</v>
      </c>
      <c r="AN377" s="328">
        <f t="array" ref="AN377">SUM(IF('2014-2017 Projects'!$Y$5:$Y$158="KPA5",'2014-2017 Projects'!$CE$5:$CE$158,0))</f>
        <v>1000000</v>
      </c>
      <c r="AO377" s="328">
        <f t="array" ref="AO377">SUM(IF('2014-2017 Projects'!$Y$5:$Y$158="KPA5",'2014-2017 Projects'!$CF$5:$CF$158,0))</f>
        <v>1000000</v>
      </c>
    </row>
    <row r="378" spans="1:43" ht="13.5" thickBot="1">
      <c r="A378" s="243" t="s">
        <v>410</v>
      </c>
      <c r="B378" s="236" t="e">
        <f>SUM(B372:B377)</f>
        <v>#REF!</v>
      </c>
      <c r="C378" s="236" t="e">
        <f>SUM(C372:C377)</f>
        <v>#REF!</v>
      </c>
      <c r="D378" s="236" t="e">
        <f>SUM(D372:D377)</f>
        <v>#REF!</v>
      </c>
      <c r="E378" s="236" t="e">
        <f>SUM(E372:E377)</f>
        <v>#REF!</v>
      </c>
      <c r="F378" s="236" t="e">
        <f>SUM(F372:F377)</f>
        <v>#REF!</v>
      </c>
      <c r="G378" s="236"/>
      <c r="H378" s="236">
        <f>SUM(H372:H377)</f>
        <v>942007423</v>
      </c>
      <c r="I378" s="236"/>
      <c r="J378" s="236"/>
      <c r="K378" s="236"/>
      <c r="L378" s="236"/>
      <c r="M378" s="236"/>
      <c r="N378" s="236"/>
      <c r="O378" s="236"/>
      <c r="P378" s="236"/>
      <c r="Q378" s="236"/>
      <c r="R378" s="236"/>
      <c r="S378" s="236"/>
      <c r="T378" s="236"/>
      <c r="U378" s="236"/>
      <c r="V378" s="236"/>
      <c r="W378" s="236"/>
      <c r="X378" s="236"/>
      <c r="Y378" s="236"/>
      <c r="Z378" s="236"/>
      <c r="AA378" s="236"/>
      <c r="AB378" s="236"/>
      <c r="AC378" s="236"/>
      <c r="AD378" s="236"/>
      <c r="AE378" s="236"/>
      <c r="AF378" s="236"/>
      <c r="AG378" s="236"/>
      <c r="AH378" s="236"/>
      <c r="AI378" s="236"/>
      <c r="AJ378" s="236"/>
      <c r="AK378" s="236"/>
      <c r="AL378" s="455">
        <f t="shared" si="99"/>
        <v>0</v>
      </c>
      <c r="AM378" s="455">
        <f t="shared" si="100"/>
        <v>0</v>
      </c>
      <c r="AN378" s="236">
        <f>SUM(AN372:AN377)</f>
        <v>1024127261</v>
      </c>
      <c r="AO378" s="236">
        <f>SUM(AO372:AO377)</f>
        <v>1069226151</v>
      </c>
    </row>
  </sheetData>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sheetPr codeName="Sheet3">
    <tabColor rgb="FFFFFF00"/>
  </sheetPr>
  <dimension ref="A1:CA129"/>
  <sheetViews>
    <sheetView zoomScale="77" zoomScaleNormal="77" workbookViewId="0">
      <pane xSplit="23" ySplit="4" topLeftCell="Y108" activePane="bottomRight" state="frozen"/>
      <selection pane="topRight" activeCell="X1" sqref="X1"/>
      <selection pane="bottomLeft" activeCell="A5" sqref="A5"/>
      <selection pane="bottomRight" activeCell="A5" sqref="A5:AJ122"/>
    </sheetView>
  </sheetViews>
  <sheetFormatPr defaultColWidth="9.140625" defaultRowHeight="15"/>
  <cols>
    <col min="1" max="1" width="35.7109375" style="99" customWidth="1"/>
    <col min="2" max="2" width="55.140625" style="99" hidden="1" customWidth="1"/>
    <col min="3" max="3" width="61.5703125" style="99" hidden="1" customWidth="1"/>
    <col min="4" max="4" width="41.5703125" style="99" hidden="1" customWidth="1"/>
    <col min="5" max="5" width="10.7109375" style="100" customWidth="1"/>
    <col min="6" max="6" width="32.85546875" style="99" hidden="1" customWidth="1"/>
    <col min="7" max="7" width="28" style="99" hidden="1" customWidth="1"/>
    <col min="8" max="10" width="11.140625" style="100" hidden="1" customWidth="1"/>
    <col min="11" max="16" width="11.42578125" style="100" hidden="1" customWidth="1"/>
    <col min="17" max="17" width="17.28515625" style="99" hidden="1" customWidth="1"/>
    <col min="18" max="19" width="5.7109375" style="99" hidden="1" customWidth="1"/>
    <col min="20" max="21" width="5.7109375" style="1" hidden="1" customWidth="1"/>
    <col min="22" max="22" width="15.85546875" style="90" hidden="1" customWidth="1"/>
    <col min="23" max="23" width="5.7109375" style="90" hidden="1" customWidth="1"/>
    <col min="24" max="24" width="65" style="101" customWidth="1"/>
    <col min="25" max="25" width="22.28515625" style="99" customWidth="1"/>
    <col min="26" max="26" width="44.5703125" style="102" hidden="1" customWidth="1"/>
    <col min="27" max="27" width="22.5703125" style="102" hidden="1" customWidth="1"/>
    <col min="28" max="28" width="59.140625" style="103" hidden="1" customWidth="1"/>
    <col min="29" max="29" width="23.85546875" style="103" hidden="1" customWidth="1"/>
    <col min="30" max="30" width="17.7109375" style="103" hidden="1" customWidth="1"/>
    <col min="31" max="31" width="15.7109375" style="103" hidden="1" customWidth="1"/>
    <col min="32" max="32" width="15.5703125" style="103" hidden="1" customWidth="1"/>
    <col min="33" max="33" width="15.7109375" style="254" hidden="1" customWidth="1"/>
    <col min="34" max="34" width="15.7109375" style="105" customWidth="1"/>
    <col min="35" max="35" width="15.7109375" style="102" customWidth="1"/>
    <col min="36" max="36" width="15.7109375" style="103" customWidth="1"/>
    <col min="37" max="37" width="24.85546875" style="102" hidden="1" customWidth="1"/>
    <col min="38" max="38" width="38" style="102" hidden="1" customWidth="1"/>
    <col min="39" max="39" width="28.140625" style="102" hidden="1" customWidth="1"/>
    <col min="40" max="40" width="42.85546875" style="104" hidden="1" customWidth="1"/>
    <col min="41" max="41" width="33.28515625" style="102" hidden="1" customWidth="1"/>
    <col min="42" max="42" width="11.42578125" style="102" hidden="1" customWidth="1"/>
    <col min="43" max="43" width="47.28515625" style="105" hidden="1" customWidth="1"/>
    <col min="44" max="44" width="48.7109375" style="103" hidden="1" customWidth="1"/>
    <col min="45" max="45" width="48.42578125" style="103" hidden="1" customWidth="1"/>
    <col min="46" max="46" width="29.42578125" style="102" hidden="1" customWidth="1"/>
    <col min="47" max="47" width="11.42578125" style="102" hidden="1" customWidth="1"/>
    <col min="48" max="48" width="43.42578125" style="102" hidden="1" customWidth="1"/>
    <col min="49" max="49" width="32.42578125" style="102" hidden="1" customWidth="1"/>
    <col min="50" max="50" width="11.42578125" style="102" hidden="1" customWidth="1"/>
    <col min="51" max="51" width="46" style="102" hidden="1" customWidth="1"/>
    <col min="52" max="52" width="32.140625" style="102" hidden="1" customWidth="1"/>
    <col min="53" max="53" width="11.42578125" style="102" hidden="1" customWidth="1"/>
    <col min="54" max="54" width="46" style="102" hidden="1" customWidth="1"/>
    <col min="55" max="55" width="29.5703125" style="102" hidden="1" customWidth="1"/>
    <col min="56" max="56" width="43.5703125" style="102" hidden="1" customWidth="1"/>
    <col min="57" max="57" width="31" style="102" hidden="1" customWidth="1"/>
    <col min="58" max="58" width="44.85546875" style="102" hidden="1" customWidth="1"/>
    <col min="59" max="59" width="27.140625" style="102" hidden="1" customWidth="1"/>
    <col min="60" max="60" width="41" style="102" hidden="1" customWidth="1"/>
    <col min="61" max="61" width="24.7109375" style="102" hidden="1" customWidth="1"/>
    <col min="62" max="62" width="38.7109375" style="102" hidden="1" customWidth="1"/>
    <col min="63" max="63" width="24.140625" style="102" hidden="1" customWidth="1"/>
    <col min="64" max="64" width="38.85546875" style="102" hidden="1" customWidth="1"/>
    <col min="65" max="65" width="25.140625" style="102" hidden="1" customWidth="1"/>
    <col min="66" max="66" width="39.85546875" style="102" hidden="1" customWidth="1"/>
    <col min="67" max="67" width="37.85546875" style="102" hidden="1" customWidth="1"/>
    <col min="68" max="68" width="23.5703125" style="106" hidden="1" customWidth="1"/>
    <col min="69" max="69" width="38.28515625" style="107" hidden="1" customWidth="1"/>
    <col min="70" max="70" width="74.42578125" style="103" hidden="1" customWidth="1"/>
    <col min="71" max="71" width="24.28515625" style="102" hidden="1" customWidth="1"/>
    <col min="72" max="72" width="38.140625" style="105" hidden="1" customWidth="1"/>
    <col min="73" max="73" width="19.28515625" style="102" hidden="1" customWidth="1"/>
    <col min="74" max="74" width="20.7109375" style="105" hidden="1" customWidth="1"/>
    <col min="75" max="75" width="13.85546875" style="105" hidden="1" customWidth="1"/>
    <col min="76" max="76" width="13.7109375" style="105" hidden="1" customWidth="1"/>
    <col min="77" max="77" width="15.7109375" style="105" hidden="1" customWidth="1"/>
    <col min="78" max="78" width="75.7109375" style="109" hidden="1" customWidth="1"/>
    <col min="79" max="79" width="13.7109375" style="84" hidden="1" customWidth="1"/>
    <col min="80" max="16384" width="9.140625" style="84"/>
  </cols>
  <sheetData>
    <row r="1" spans="1:78" s="125" customFormat="1" ht="18">
      <c r="A1" s="321"/>
      <c r="B1" s="321"/>
      <c r="C1" s="321"/>
      <c r="D1" s="321"/>
      <c r="E1" s="321"/>
      <c r="F1" s="321"/>
      <c r="G1" s="321"/>
      <c r="H1" s="321"/>
      <c r="I1" s="321"/>
      <c r="J1" s="268"/>
      <c r="K1" s="321"/>
      <c r="L1" s="321"/>
      <c r="M1" s="321"/>
      <c r="N1" s="321"/>
      <c r="O1" s="321"/>
      <c r="P1" s="321"/>
      <c r="Q1" s="321"/>
      <c r="R1" s="321"/>
      <c r="S1" s="321"/>
      <c r="T1" s="321"/>
      <c r="U1" s="321"/>
      <c r="V1" s="321"/>
      <c r="W1" s="321"/>
      <c r="X1" s="321" t="s">
        <v>453</v>
      </c>
      <c r="Y1" s="321"/>
      <c r="Z1" s="321"/>
      <c r="AA1" s="321"/>
      <c r="AB1" s="321"/>
      <c r="AC1" s="321"/>
      <c r="AD1" s="321"/>
      <c r="AE1" s="321"/>
      <c r="AF1" s="321"/>
      <c r="AG1" s="321"/>
      <c r="AH1" s="268"/>
      <c r="AI1" s="321"/>
      <c r="AJ1" s="321"/>
      <c r="AK1" s="321"/>
      <c r="AL1" s="321"/>
      <c r="AM1" s="321"/>
      <c r="AN1" s="321"/>
      <c r="AO1" s="321"/>
      <c r="AP1" s="321"/>
      <c r="AQ1" s="321"/>
      <c r="AR1" s="321"/>
      <c r="AS1" s="321"/>
      <c r="AT1" s="321"/>
      <c r="AU1" s="321"/>
      <c r="AV1" s="321"/>
      <c r="AW1" s="321"/>
      <c r="AX1" s="321"/>
      <c r="AY1" s="321"/>
      <c r="AZ1" s="269"/>
      <c r="BA1" s="269"/>
      <c r="BB1" s="321"/>
      <c r="BC1" s="321"/>
      <c r="BD1" s="321"/>
      <c r="BE1" s="321"/>
      <c r="BF1" s="321"/>
      <c r="BG1" s="321"/>
      <c r="BH1" s="321"/>
      <c r="BI1" s="321"/>
      <c r="BJ1" s="321"/>
      <c r="BK1" s="321"/>
      <c r="BL1" s="321"/>
      <c r="BM1" s="321"/>
      <c r="BN1" s="321"/>
      <c r="BO1" s="321"/>
      <c r="BP1" s="270"/>
      <c r="BQ1" s="270"/>
      <c r="BR1" s="271"/>
      <c r="BS1" s="321"/>
      <c r="BT1" s="321"/>
      <c r="BU1" s="321"/>
      <c r="BV1" s="321"/>
      <c r="BW1" s="269"/>
      <c r="BX1" s="269"/>
      <c r="BY1" s="269"/>
      <c r="BZ1" s="272"/>
    </row>
    <row r="2" spans="1:78" s="126" customFormat="1" ht="18">
      <c r="A2" s="507" t="s">
        <v>452</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08"/>
      <c r="BW2" s="509"/>
      <c r="BX2" s="509"/>
      <c r="BY2" s="508"/>
      <c r="BZ2" s="508"/>
    </row>
    <row r="3" spans="1:78" s="127" customFormat="1" ht="18.75" thickBot="1">
      <c r="A3" s="508"/>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c r="BI3" s="508"/>
      <c r="BJ3" s="508"/>
      <c r="BK3" s="508"/>
      <c r="BL3" s="508"/>
      <c r="BM3" s="508"/>
      <c r="BN3" s="508"/>
      <c r="BO3" s="508"/>
      <c r="BP3" s="508"/>
      <c r="BQ3" s="508"/>
      <c r="BR3" s="508"/>
      <c r="BS3" s="508"/>
      <c r="BT3" s="508"/>
      <c r="BU3" s="508"/>
      <c r="BV3" s="508"/>
      <c r="BW3" s="509"/>
      <c r="BX3" s="509"/>
      <c r="BY3" s="508"/>
      <c r="BZ3" s="508"/>
    </row>
    <row r="4" spans="1:78" s="128" customFormat="1" ht="50.1" customHeight="1" thickBot="1">
      <c r="A4" s="273" t="s">
        <v>10</v>
      </c>
      <c r="B4" s="274" t="s">
        <v>61</v>
      </c>
      <c r="C4" s="275" t="s">
        <v>224</v>
      </c>
      <c r="D4" s="275" t="s">
        <v>223</v>
      </c>
      <c r="E4" s="276" t="s">
        <v>438</v>
      </c>
      <c r="F4" s="277" t="s">
        <v>12</v>
      </c>
      <c r="G4" s="277" t="s">
        <v>71</v>
      </c>
      <c r="H4" s="278" t="s">
        <v>199</v>
      </c>
      <c r="I4" s="278" t="s">
        <v>199</v>
      </c>
      <c r="J4" s="278" t="s">
        <v>199</v>
      </c>
      <c r="K4" s="278" t="s">
        <v>185</v>
      </c>
      <c r="L4" s="278" t="s">
        <v>185</v>
      </c>
      <c r="M4" s="278" t="s">
        <v>185</v>
      </c>
      <c r="N4" s="278" t="s">
        <v>185</v>
      </c>
      <c r="O4" s="278" t="s">
        <v>185</v>
      </c>
      <c r="P4" s="278" t="s">
        <v>185</v>
      </c>
      <c r="Q4" s="277" t="s">
        <v>25</v>
      </c>
      <c r="R4" s="277" t="s">
        <v>221</v>
      </c>
      <c r="S4" s="277" t="s">
        <v>402</v>
      </c>
      <c r="T4" s="277" t="s">
        <v>23</v>
      </c>
      <c r="U4" s="277" t="s">
        <v>79</v>
      </c>
      <c r="V4" s="279" t="s">
        <v>22</v>
      </c>
      <c r="W4" s="280" t="s">
        <v>91</v>
      </c>
      <c r="X4" s="281" t="s">
        <v>11</v>
      </c>
      <c r="Y4" s="282" t="s">
        <v>432</v>
      </c>
      <c r="Z4" s="283" t="s">
        <v>207</v>
      </c>
      <c r="AA4" s="283" t="s">
        <v>250</v>
      </c>
      <c r="AB4" s="283" t="s">
        <v>251</v>
      </c>
      <c r="AC4" s="283" t="s">
        <v>284</v>
      </c>
      <c r="AD4" s="283" t="s">
        <v>431</v>
      </c>
      <c r="AE4" s="283" t="s">
        <v>291</v>
      </c>
      <c r="AF4" s="283" t="s">
        <v>292</v>
      </c>
      <c r="AG4" s="283" t="s">
        <v>413</v>
      </c>
      <c r="AH4" s="307" t="s">
        <v>138</v>
      </c>
      <c r="AI4" s="284" t="s">
        <v>139</v>
      </c>
      <c r="AJ4" s="284" t="s">
        <v>289</v>
      </c>
      <c r="AK4" s="283" t="s">
        <v>214</v>
      </c>
      <c r="AL4" s="283" t="s">
        <v>262</v>
      </c>
      <c r="AM4" s="283" t="s">
        <v>208</v>
      </c>
      <c r="AN4" s="283" t="s">
        <v>263</v>
      </c>
      <c r="AO4" s="283" t="s">
        <v>209</v>
      </c>
      <c r="AP4" s="283" t="s">
        <v>280</v>
      </c>
      <c r="AQ4" s="283" t="s">
        <v>264</v>
      </c>
      <c r="AR4" s="283" t="s">
        <v>277</v>
      </c>
      <c r="AS4" s="283" t="s">
        <v>278</v>
      </c>
      <c r="AT4" s="283" t="s">
        <v>210</v>
      </c>
      <c r="AU4" s="283" t="s">
        <v>280</v>
      </c>
      <c r="AV4" s="283" t="s">
        <v>265</v>
      </c>
      <c r="AW4" s="283" t="s">
        <v>211</v>
      </c>
      <c r="AX4" s="283" t="s">
        <v>280</v>
      </c>
      <c r="AY4" s="283" t="s">
        <v>266</v>
      </c>
      <c r="AZ4" s="283" t="s">
        <v>212</v>
      </c>
      <c r="BA4" s="283" t="s">
        <v>280</v>
      </c>
      <c r="BB4" s="283" t="s">
        <v>267</v>
      </c>
      <c r="BC4" s="283" t="s">
        <v>213</v>
      </c>
      <c r="BD4" s="283" t="s">
        <v>268</v>
      </c>
      <c r="BE4" s="283" t="s">
        <v>215</v>
      </c>
      <c r="BF4" s="283" t="s">
        <v>269</v>
      </c>
      <c r="BG4" s="283" t="s">
        <v>216</v>
      </c>
      <c r="BH4" s="283" t="s">
        <v>270</v>
      </c>
      <c r="BI4" s="283" t="s">
        <v>217</v>
      </c>
      <c r="BJ4" s="283" t="s">
        <v>271</v>
      </c>
      <c r="BK4" s="283" t="s">
        <v>218</v>
      </c>
      <c r="BL4" s="283" t="s">
        <v>272</v>
      </c>
      <c r="BM4" s="283" t="s">
        <v>219</v>
      </c>
      <c r="BN4" s="283" t="s">
        <v>273</v>
      </c>
      <c r="BO4" s="283" t="s">
        <v>220</v>
      </c>
      <c r="BP4" s="285" t="s">
        <v>203</v>
      </c>
      <c r="BQ4" s="285" t="s">
        <v>274</v>
      </c>
      <c r="BR4" s="283" t="s">
        <v>282</v>
      </c>
      <c r="BS4" s="283" t="s">
        <v>204</v>
      </c>
      <c r="BT4" s="283" t="s">
        <v>275</v>
      </c>
      <c r="BU4" s="283" t="s">
        <v>206</v>
      </c>
      <c r="BV4" s="283" t="s">
        <v>276</v>
      </c>
      <c r="BW4" s="284" t="s">
        <v>434</v>
      </c>
      <c r="BX4" s="284" t="s">
        <v>437</v>
      </c>
      <c r="BY4" s="284" t="s">
        <v>434</v>
      </c>
      <c r="BZ4" s="283" t="s">
        <v>205</v>
      </c>
    </row>
    <row r="5" spans="1:78" s="1" customFormat="1" ht="15.75" customHeight="1">
      <c r="A5" s="12"/>
      <c r="B5" s="12"/>
      <c r="C5" s="12"/>
      <c r="D5" s="12"/>
      <c r="E5" s="3"/>
      <c r="F5" s="12"/>
      <c r="G5" s="24"/>
      <c r="H5" s="3"/>
      <c r="I5" s="3"/>
      <c r="J5" s="3"/>
      <c r="K5" s="3"/>
      <c r="L5" s="3"/>
      <c r="M5" s="3"/>
      <c r="N5" s="3"/>
      <c r="O5" s="3"/>
      <c r="P5" s="3"/>
      <c r="Q5" s="12"/>
      <c r="R5" s="12"/>
      <c r="S5" s="12"/>
      <c r="T5" s="12"/>
      <c r="U5" s="12"/>
      <c r="V5" s="25"/>
      <c r="W5" s="25"/>
      <c r="X5" s="32"/>
      <c r="Y5" s="12"/>
      <c r="Z5" s="27"/>
      <c r="AA5" s="27"/>
      <c r="AB5" s="7"/>
      <c r="AC5" s="7"/>
      <c r="AD5" s="7"/>
      <c r="AE5" s="7"/>
      <c r="AF5" s="7"/>
      <c r="AG5" s="7"/>
      <c r="AH5" s="27"/>
      <c r="AI5" s="27"/>
      <c r="AJ5" s="7"/>
      <c r="AK5" s="27"/>
      <c r="AL5" s="7"/>
      <c r="AM5" s="27"/>
      <c r="AN5" s="7"/>
      <c r="AO5" s="27"/>
      <c r="AP5" s="27"/>
      <c r="AQ5" s="7"/>
      <c r="AR5" s="7"/>
      <c r="AS5" s="7"/>
      <c r="AT5" s="27"/>
      <c r="AU5" s="27"/>
      <c r="AV5" s="7"/>
      <c r="AW5" s="27"/>
      <c r="AX5" s="27"/>
      <c r="AY5" s="7"/>
      <c r="AZ5" s="27"/>
      <c r="BA5" s="27"/>
      <c r="BB5" s="7"/>
      <c r="BC5" s="27"/>
      <c r="BD5" s="7">
        <f>BC5</f>
        <v>0</v>
      </c>
      <c r="BE5" s="27"/>
      <c r="BF5" s="7">
        <f>BE5</f>
        <v>0</v>
      </c>
      <c r="BG5" s="27"/>
      <c r="BH5" s="7">
        <f>BG5</f>
        <v>0</v>
      </c>
      <c r="BI5" s="27"/>
      <c r="BJ5" s="7">
        <f>BI5</f>
        <v>0</v>
      </c>
      <c r="BK5" s="27"/>
      <c r="BL5" s="7">
        <f>BK5</f>
        <v>0</v>
      </c>
      <c r="BM5" s="27"/>
      <c r="BN5" s="7">
        <f>BM5</f>
        <v>0</v>
      </c>
      <c r="BO5" s="27"/>
      <c r="BP5" s="14"/>
      <c r="BQ5" s="14"/>
      <c r="BR5" s="7"/>
      <c r="BS5" s="7"/>
      <c r="BT5" s="7"/>
      <c r="BU5" s="15"/>
      <c r="BV5" s="15"/>
      <c r="BW5" s="15"/>
      <c r="BX5" s="15"/>
      <c r="BY5" s="7"/>
      <c r="BZ5" s="27"/>
    </row>
    <row r="6" spans="1:78" s="1" customFormat="1" ht="15.75" customHeight="1">
      <c r="A6" s="22" t="s">
        <v>108</v>
      </c>
      <c r="B6" s="23"/>
      <c r="C6" s="23"/>
      <c r="D6" s="23"/>
      <c r="E6" s="3"/>
      <c r="F6" s="12"/>
      <c r="G6" s="24"/>
      <c r="H6" s="3"/>
      <c r="I6" s="3"/>
      <c r="J6" s="3"/>
      <c r="K6" s="3"/>
      <c r="L6" s="3"/>
      <c r="M6" s="3"/>
      <c r="N6" s="3"/>
      <c r="O6" s="3"/>
      <c r="P6" s="3"/>
      <c r="Q6" s="12"/>
      <c r="R6" s="12"/>
      <c r="S6" s="12"/>
      <c r="T6" s="12"/>
      <c r="U6" s="12"/>
      <c r="V6" s="25"/>
      <c r="W6" s="25"/>
      <c r="X6" s="23" t="s">
        <v>247</v>
      </c>
      <c r="Y6" s="12"/>
      <c r="Z6" s="27"/>
      <c r="AA6" s="27"/>
      <c r="AB6" s="7"/>
      <c r="AC6" s="7"/>
      <c r="AD6" s="7"/>
      <c r="AE6" s="7"/>
      <c r="AF6" s="7"/>
      <c r="AG6" s="7"/>
      <c r="AH6" s="27"/>
      <c r="AI6" s="27"/>
      <c r="AJ6" s="7"/>
      <c r="AK6" s="27"/>
      <c r="AL6" s="7"/>
      <c r="AM6" s="27"/>
      <c r="AN6" s="7"/>
      <c r="AO6" s="27"/>
      <c r="AP6" s="27"/>
      <c r="AQ6" s="7"/>
      <c r="AR6" s="7"/>
      <c r="AS6" s="7"/>
      <c r="AT6" s="27"/>
      <c r="AU6" s="27"/>
      <c r="AV6" s="7"/>
      <c r="AW6" s="27"/>
      <c r="AX6" s="27"/>
      <c r="AY6" s="7"/>
      <c r="AZ6" s="27"/>
      <c r="BA6" s="27"/>
      <c r="BB6" s="7"/>
      <c r="BC6" s="27"/>
      <c r="BD6" s="7">
        <f>BC6</f>
        <v>0</v>
      </c>
      <c r="BE6" s="27"/>
      <c r="BF6" s="7">
        <f>BE6</f>
        <v>0</v>
      </c>
      <c r="BG6" s="27"/>
      <c r="BH6" s="7">
        <f>BG6</f>
        <v>0</v>
      </c>
      <c r="BI6" s="27"/>
      <c r="BJ6" s="7">
        <f>BI6</f>
        <v>0</v>
      </c>
      <c r="BK6" s="27"/>
      <c r="BL6" s="7">
        <f>BK6</f>
        <v>0</v>
      </c>
      <c r="BM6" s="27"/>
      <c r="BN6" s="7">
        <f>BM6</f>
        <v>0</v>
      </c>
      <c r="BO6" s="27"/>
      <c r="BP6" s="14"/>
      <c r="BQ6" s="14"/>
      <c r="BR6" s="7"/>
      <c r="BS6" s="7"/>
      <c r="BT6" s="7"/>
      <c r="BU6" s="15"/>
      <c r="BV6" s="15"/>
      <c r="BW6" s="15"/>
      <c r="BX6" s="15"/>
      <c r="BY6" s="7"/>
      <c r="BZ6" s="27"/>
    </row>
    <row r="7" spans="1:78" s="1" customFormat="1" ht="30.75">
      <c r="A7" s="12" t="s">
        <v>7</v>
      </c>
      <c r="B7" s="23"/>
      <c r="C7" s="23"/>
      <c r="D7" s="23"/>
      <c r="E7" s="3">
        <v>250005</v>
      </c>
      <c r="F7" s="9" t="s">
        <v>13</v>
      </c>
      <c r="G7" s="24" t="s">
        <v>72</v>
      </c>
      <c r="H7" s="3"/>
      <c r="I7" s="3"/>
      <c r="J7" s="3"/>
      <c r="K7" s="3"/>
      <c r="L7" s="3"/>
      <c r="M7" s="3"/>
      <c r="N7" s="3"/>
      <c r="O7" s="3"/>
      <c r="P7" s="3"/>
      <c r="Q7" s="12" t="s">
        <v>26</v>
      </c>
      <c r="R7" s="12"/>
      <c r="S7" s="12"/>
      <c r="T7" s="12" t="s">
        <v>36</v>
      </c>
      <c r="U7" s="12" t="s">
        <v>13</v>
      </c>
      <c r="V7" s="25" t="s">
        <v>69</v>
      </c>
      <c r="W7" s="25"/>
      <c r="X7" s="12" t="s">
        <v>293</v>
      </c>
      <c r="Y7" s="12" t="s">
        <v>8</v>
      </c>
      <c r="Z7" s="36"/>
      <c r="AA7" s="36"/>
      <c r="AB7" s="7"/>
      <c r="AC7" s="33"/>
      <c r="AD7" s="33">
        <f>AB7+AC7</f>
        <v>0</v>
      </c>
      <c r="AE7" s="33"/>
      <c r="AF7" s="7">
        <f>+AD7+AE7</f>
        <v>0</v>
      </c>
      <c r="AG7" s="33"/>
      <c r="AH7" s="322">
        <v>500000</v>
      </c>
      <c r="AI7" s="322">
        <v>500000</v>
      </c>
      <c r="AJ7" s="323">
        <v>500000</v>
      </c>
      <c r="AK7" s="36"/>
      <c r="AL7" s="7"/>
      <c r="AM7" s="36"/>
      <c r="AN7" s="7"/>
      <c r="AO7" s="36"/>
      <c r="AP7" s="36"/>
      <c r="AQ7" s="7"/>
      <c r="AR7" s="7"/>
      <c r="AS7" s="7"/>
      <c r="AT7" s="36"/>
      <c r="AU7" s="36"/>
      <c r="AV7" s="7"/>
      <c r="AW7" s="36"/>
      <c r="AX7" s="36"/>
      <c r="AY7" s="7"/>
      <c r="AZ7" s="36"/>
      <c r="BA7" s="36"/>
      <c r="BB7" s="7"/>
      <c r="BC7" s="36"/>
      <c r="BD7" s="7"/>
      <c r="BE7" s="36"/>
      <c r="BF7" s="7"/>
      <c r="BG7" s="36"/>
      <c r="BH7" s="7"/>
      <c r="BI7" s="36"/>
      <c r="BJ7" s="7"/>
      <c r="BK7" s="36"/>
      <c r="BL7" s="7"/>
      <c r="BM7" s="36"/>
      <c r="BN7" s="7"/>
      <c r="BO7" s="36"/>
      <c r="BP7" s="14"/>
      <c r="BQ7" s="14"/>
      <c r="BR7" s="7"/>
      <c r="BS7" s="7"/>
      <c r="BT7" s="7"/>
      <c r="BU7" s="15"/>
      <c r="BV7" s="15"/>
      <c r="BW7" s="300"/>
      <c r="BX7" s="300"/>
      <c r="BY7" s="33"/>
      <c r="BZ7" s="36"/>
    </row>
    <row r="8" spans="1:78" s="1" customFormat="1">
      <c r="A8" s="12"/>
      <c r="B8" s="24"/>
      <c r="C8" s="24"/>
      <c r="D8" s="24"/>
      <c r="E8" s="3"/>
      <c r="F8" s="9"/>
      <c r="G8" s="10"/>
      <c r="H8" s="3"/>
      <c r="I8" s="11"/>
      <c r="J8" s="3"/>
      <c r="K8" s="3"/>
      <c r="L8" s="3"/>
      <c r="M8" s="11"/>
      <c r="N8" s="11"/>
      <c r="O8" s="3"/>
      <c r="P8" s="3"/>
      <c r="Q8" s="12"/>
      <c r="R8" s="12"/>
      <c r="S8" s="12"/>
      <c r="T8" s="12"/>
      <c r="U8" s="12"/>
      <c r="V8" s="25"/>
      <c r="W8" s="34"/>
      <c r="X8" s="24"/>
      <c r="Y8" s="12"/>
      <c r="Z8" s="33"/>
      <c r="AA8" s="33"/>
      <c r="AB8" s="7"/>
      <c r="AC8" s="33"/>
      <c r="AD8" s="33"/>
      <c r="AE8" s="33"/>
      <c r="AF8" s="7"/>
      <c r="AG8" s="33"/>
      <c r="AH8" s="33"/>
      <c r="AI8" s="33"/>
      <c r="AJ8" s="33"/>
      <c r="AK8" s="33"/>
      <c r="AL8" s="7"/>
      <c r="AM8" s="33"/>
      <c r="AN8" s="7"/>
      <c r="AO8" s="33"/>
      <c r="AP8" s="33"/>
      <c r="AQ8" s="7"/>
      <c r="AR8" s="7"/>
      <c r="AS8" s="7"/>
      <c r="AT8" s="33"/>
      <c r="AU8" s="33"/>
      <c r="AV8" s="7"/>
      <c r="AW8" s="33"/>
      <c r="AX8" s="33"/>
      <c r="AY8" s="7"/>
      <c r="AZ8" s="33"/>
      <c r="BA8" s="33"/>
      <c r="BB8" s="7"/>
      <c r="BC8" s="33"/>
      <c r="BD8" s="7"/>
      <c r="BE8" s="33"/>
      <c r="BF8" s="7"/>
      <c r="BG8" s="33"/>
      <c r="BH8" s="7"/>
      <c r="BI8" s="33"/>
      <c r="BJ8" s="7"/>
      <c r="BK8" s="33"/>
      <c r="BL8" s="7"/>
      <c r="BM8" s="33"/>
      <c r="BN8" s="7"/>
      <c r="BO8" s="33"/>
      <c r="BP8" s="14"/>
      <c r="BQ8" s="14"/>
      <c r="BR8" s="7"/>
      <c r="BS8" s="7"/>
      <c r="BT8" s="7"/>
      <c r="BU8" s="15"/>
      <c r="BV8" s="15"/>
      <c r="BW8" s="300"/>
      <c r="BX8" s="300"/>
      <c r="BY8" s="33"/>
      <c r="BZ8" s="36"/>
    </row>
    <row r="9" spans="1:78" s="1" customFormat="1" ht="15" customHeight="1">
      <c r="A9" s="12" t="s">
        <v>7</v>
      </c>
      <c r="B9" s="24" t="s">
        <v>62</v>
      </c>
      <c r="C9" s="24" t="s">
        <v>227</v>
      </c>
      <c r="D9" s="24"/>
      <c r="E9" s="3">
        <v>255005</v>
      </c>
      <c r="F9" s="9" t="s">
        <v>13</v>
      </c>
      <c r="G9" s="10" t="s">
        <v>13</v>
      </c>
      <c r="H9" s="3">
        <v>4</v>
      </c>
      <c r="I9" s="11" t="s">
        <v>187</v>
      </c>
      <c r="J9" s="3">
        <v>1407</v>
      </c>
      <c r="K9" s="11" t="s">
        <v>186</v>
      </c>
      <c r="L9" s="11" t="s">
        <v>189</v>
      </c>
      <c r="M9" s="11" t="s">
        <v>187</v>
      </c>
      <c r="N9" s="11" t="s">
        <v>187</v>
      </c>
      <c r="O9" s="11" t="s">
        <v>193</v>
      </c>
      <c r="P9" s="3" t="s">
        <v>188</v>
      </c>
      <c r="Q9" s="12" t="s">
        <v>110</v>
      </c>
      <c r="R9" s="12" t="s">
        <v>222</v>
      </c>
      <c r="S9" s="12"/>
      <c r="T9" s="12" t="s">
        <v>36</v>
      </c>
      <c r="U9" s="12" t="s">
        <v>13</v>
      </c>
      <c r="V9" s="25" t="s">
        <v>69</v>
      </c>
      <c r="W9" s="111"/>
      <c r="X9" s="35" t="s">
        <v>165</v>
      </c>
      <c r="Y9" s="12" t="s">
        <v>8</v>
      </c>
      <c r="Z9" s="36">
        <v>200000</v>
      </c>
      <c r="AA9" s="36"/>
      <c r="AB9" s="7">
        <f>Z9+AA9</f>
        <v>200000</v>
      </c>
      <c r="AC9" s="33"/>
      <c r="AD9" s="33">
        <f>AB9+AC9</f>
        <v>200000</v>
      </c>
      <c r="AE9" s="33">
        <v>200000</v>
      </c>
      <c r="AF9" s="7">
        <f>+AD9+AE9</f>
        <v>400000</v>
      </c>
      <c r="AG9" s="33"/>
      <c r="AH9" s="36">
        <v>100000</v>
      </c>
      <c r="AI9" s="36">
        <v>150000</v>
      </c>
      <c r="AJ9" s="33">
        <v>0</v>
      </c>
      <c r="AK9" s="36"/>
      <c r="AL9" s="7">
        <f>AK9</f>
        <v>0</v>
      </c>
      <c r="AM9" s="36"/>
      <c r="AN9" s="7">
        <f>AM9</f>
        <v>0</v>
      </c>
      <c r="AO9" s="36"/>
      <c r="AP9" s="36"/>
      <c r="AQ9" s="7">
        <f>AO9+AP9</f>
        <v>0</v>
      </c>
      <c r="AR9" s="7">
        <f>AK9+AM9+AO9</f>
        <v>0</v>
      </c>
      <c r="AS9" s="7">
        <f>AL9+AN9+AQ9</f>
        <v>0</v>
      </c>
      <c r="AT9" s="36"/>
      <c r="AU9" s="36"/>
      <c r="AV9" s="7">
        <f>AT9+AU9</f>
        <v>0</v>
      </c>
      <c r="AW9" s="36"/>
      <c r="AX9" s="36"/>
      <c r="AY9" s="7">
        <f>AW9+AX9</f>
        <v>0</v>
      </c>
      <c r="AZ9" s="36"/>
      <c r="BA9" s="36"/>
      <c r="BB9" s="7">
        <f>AZ9+BA9</f>
        <v>0</v>
      </c>
      <c r="BC9" s="36"/>
      <c r="BD9" s="7">
        <f>BC9</f>
        <v>0</v>
      </c>
      <c r="BE9" s="36"/>
      <c r="BF9" s="7">
        <f>BE9</f>
        <v>0</v>
      </c>
      <c r="BG9" s="36"/>
      <c r="BH9" s="7">
        <f>BG9</f>
        <v>0</v>
      </c>
      <c r="BI9" s="36"/>
      <c r="BJ9" s="7">
        <f>BI9</f>
        <v>0</v>
      </c>
      <c r="BK9" s="36"/>
      <c r="BL9" s="7">
        <f>BK9</f>
        <v>0</v>
      </c>
      <c r="BM9" s="36"/>
      <c r="BN9" s="7">
        <f>BM9</f>
        <v>0</v>
      </c>
      <c r="BO9" s="36"/>
      <c r="BP9" s="14">
        <f>AK9+AM9+AO9+AT9+AW9+AZ9+BC9+BE9+BG9+BI9+BK9+BM9</f>
        <v>0</v>
      </c>
      <c r="BQ9" s="14">
        <f>AL9+AN9+AQ9+AV9+AY9+BB9</f>
        <v>0</v>
      </c>
      <c r="BR9" s="7"/>
      <c r="BS9" s="7">
        <f>AD9-BP9</f>
        <v>200000</v>
      </c>
      <c r="BT9" s="7">
        <f>AD9-BQ9</f>
        <v>200000</v>
      </c>
      <c r="BU9" s="15">
        <f>BP9/AD9</f>
        <v>0</v>
      </c>
      <c r="BV9" s="15">
        <f>BQ9/AD9</f>
        <v>0</v>
      </c>
      <c r="BW9" s="300"/>
      <c r="BX9" s="300"/>
      <c r="BY9" s="33"/>
      <c r="BZ9" s="36"/>
    </row>
    <row r="10" spans="1:78" s="1" customFormat="1" ht="51" customHeight="1">
      <c r="A10" s="12" t="s">
        <v>7</v>
      </c>
      <c r="B10" s="24" t="s">
        <v>62</v>
      </c>
      <c r="C10" s="24" t="s">
        <v>227</v>
      </c>
      <c r="D10" s="24"/>
      <c r="E10" s="3">
        <v>255005</v>
      </c>
      <c r="F10" s="9"/>
      <c r="G10" s="10"/>
      <c r="H10" s="3"/>
      <c r="I10" s="11"/>
      <c r="J10" s="3"/>
      <c r="K10" s="11"/>
      <c r="L10" s="11"/>
      <c r="M10" s="11"/>
      <c r="N10" s="11"/>
      <c r="O10" s="11"/>
      <c r="P10" s="3"/>
      <c r="Q10" s="12"/>
      <c r="R10" s="12"/>
      <c r="S10" s="12"/>
      <c r="T10" s="12"/>
      <c r="U10" s="12"/>
      <c r="V10" s="25"/>
      <c r="W10" s="111"/>
      <c r="X10" s="35" t="s">
        <v>482</v>
      </c>
      <c r="Y10" s="12" t="s">
        <v>460</v>
      </c>
      <c r="Z10" s="36"/>
      <c r="AA10" s="36"/>
      <c r="AB10" s="7"/>
      <c r="AC10" s="33"/>
      <c r="AD10" s="33"/>
      <c r="AE10" s="33"/>
      <c r="AF10" s="7"/>
      <c r="AG10" s="33"/>
      <c r="AH10" s="36">
        <v>500000</v>
      </c>
      <c r="AI10" s="36">
        <v>100000</v>
      </c>
      <c r="AJ10" s="33">
        <v>0</v>
      </c>
      <c r="AK10" s="36"/>
      <c r="AL10" s="7"/>
      <c r="AM10" s="36"/>
      <c r="AN10" s="7"/>
      <c r="AO10" s="36"/>
      <c r="AP10" s="36"/>
      <c r="AQ10" s="7"/>
      <c r="AR10" s="7"/>
      <c r="AS10" s="7"/>
      <c r="AT10" s="36"/>
      <c r="AU10" s="36"/>
      <c r="AV10" s="7"/>
      <c r="AW10" s="36"/>
      <c r="AX10" s="36"/>
      <c r="AY10" s="7"/>
      <c r="AZ10" s="36"/>
      <c r="BA10" s="36"/>
      <c r="BB10" s="7"/>
      <c r="BC10" s="36"/>
      <c r="BD10" s="7"/>
      <c r="BE10" s="36"/>
      <c r="BF10" s="7"/>
      <c r="BG10" s="36"/>
      <c r="BH10" s="7"/>
      <c r="BI10" s="36"/>
      <c r="BJ10" s="7"/>
      <c r="BK10" s="36"/>
      <c r="BL10" s="7"/>
      <c r="BM10" s="36"/>
      <c r="BN10" s="7"/>
      <c r="BO10" s="36"/>
      <c r="BP10" s="14"/>
      <c r="BQ10" s="14"/>
      <c r="BR10" s="7"/>
      <c r="BS10" s="7"/>
      <c r="BT10" s="7"/>
      <c r="BU10" s="15"/>
      <c r="BV10" s="15"/>
      <c r="BW10" s="300"/>
      <c r="BX10" s="300"/>
      <c r="BY10" s="33"/>
      <c r="BZ10" s="36"/>
    </row>
    <row r="11" spans="1:78" s="1" customFormat="1" ht="95.25" customHeight="1">
      <c r="A11" s="12" t="s">
        <v>7</v>
      </c>
      <c r="B11" s="24" t="s">
        <v>62</v>
      </c>
      <c r="C11" s="24" t="s">
        <v>227</v>
      </c>
      <c r="D11" s="24"/>
      <c r="E11" s="3">
        <v>255005</v>
      </c>
      <c r="F11" s="9"/>
      <c r="G11" s="10"/>
      <c r="H11" s="3"/>
      <c r="I11" s="11"/>
      <c r="J11" s="3"/>
      <c r="K11" s="11"/>
      <c r="L11" s="11"/>
      <c r="M11" s="11"/>
      <c r="N11" s="11"/>
      <c r="O11" s="11"/>
      <c r="P11" s="3"/>
      <c r="Q11" s="12"/>
      <c r="R11" s="12"/>
      <c r="S11" s="12"/>
      <c r="T11" s="12"/>
      <c r="U11" s="12"/>
      <c r="V11" s="25"/>
      <c r="W11" s="111"/>
      <c r="X11" s="35" t="s">
        <v>483</v>
      </c>
      <c r="Y11" s="12" t="s">
        <v>460</v>
      </c>
      <c r="Z11" s="36"/>
      <c r="AA11" s="36"/>
      <c r="AB11" s="7"/>
      <c r="AC11" s="33"/>
      <c r="AD11" s="33"/>
      <c r="AE11" s="33"/>
      <c r="AF11" s="7"/>
      <c r="AG11" s="33"/>
      <c r="AH11" s="36">
        <v>1350000</v>
      </c>
      <c r="AI11" s="36">
        <v>1000000</v>
      </c>
      <c r="AJ11" s="33">
        <v>1000000</v>
      </c>
      <c r="AK11" s="36"/>
      <c r="AL11" s="7"/>
      <c r="AM11" s="36"/>
      <c r="AN11" s="7"/>
      <c r="AO11" s="36"/>
      <c r="AP11" s="36"/>
      <c r="AQ11" s="7"/>
      <c r="AR11" s="7"/>
      <c r="AS11" s="7"/>
      <c r="AT11" s="36"/>
      <c r="AU11" s="36"/>
      <c r="AV11" s="7"/>
      <c r="AW11" s="36"/>
      <c r="AX11" s="36"/>
      <c r="AY11" s="7"/>
      <c r="AZ11" s="36"/>
      <c r="BA11" s="36"/>
      <c r="BB11" s="7"/>
      <c r="BC11" s="36"/>
      <c r="BD11" s="7"/>
      <c r="BE11" s="36"/>
      <c r="BF11" s="7"/>
      <c r="BG11" s="36"/>
      <c r="BH11" s="7"/>
      <c r="BI11" s="36"/>
      <c r="BJ11" s="7"/>
      <c r="BK11" s="36"/>
      <c r="BL11" s="7"/>
      <c r="BM11" s="36"/>
      <c r="BN11" s="7"/>
      <c r="BO11" s="36"/>
      <c r="BP11" s="14"/>
      <c r="BQ11" s="14"/>
      <c r="BR11" s="7"/>
      <c r="BS11" s="7"/>
      <c r="BT11" s="7"/>
      <c r="BU11" s="15"/>
      <c r="BV11" s="15"/>
      <c r="BW11" s="300"/>
      <c r="BX11" s="300"/>
      <c r="BY11" s="33"/>
      <c r="BZ11" s="36"/>
    </row>
    <row r="12" spans="1:78" s="1" customFormat="1" ht="17.100000000000001" customHeight="1" thickBot="1">
      <c r="A12" s="12"/>
      <c r="B12" s="24"/>
      <c r="C12" s="24"/>
      <c r="D12" s="24"/>
      <c r="E12" s="3"/>
      <c r="F12" s="9"/>
      <c r="G12" s="10"/>
      <c r="H12" s="3"/>
      <c r="I12" s="11"/>
      <c r="J12" s="3"/>
      <c r="K12" s="11"/>
      <c r="L12" s="11"/>
      <c r="M12" s="11"/>
      <c r="N12" s="11"/>
      <c r="O12" s="11"/>
      <c r="P12" s="3"/>
      <c r="Q12" s="12"/>
      <c r="R12" s="12"/>
      <c r="S12" s="12"/>
      <c r="T12" s="12"/>
      <c r="U12" s="12"/>
      <c r="V12" s="25"/>
      <c r="W12" s="111"/>
      <c r="X12" s="35"/>
      <c r="Y12" s="12"/>
      <c r="Z12" s="36"/>
      <c r="AA12" s="36"/>
      <c r="AB12" s="7"/>
      <c r="AC12" s="33"/>
      <c r="AD12" s="33"/>
      <c r="AE12" s="33"/>
      <c r="AF12" s="7"/>
      <c r="AG12" s="33"/>
      <c r="AH12" s="324">
        <f>SUM(AH9:AH11)</f>
        <v>1950000</v>
      </c>
      <c r="AI12" s="324">
        <f>SUM(AI9:AI11)</f>
        <v>1250000</v>
      </c>
      <c r="AJ12" s="324">
        <f>SUM(AJ9:AJ11)</f>
        <v>1000000</v>
      </c>
      <c r="AK12" s="36"/>
      <c r="AL12" s="7"/>
      <c r="AM12" s="36"/>
      <c r="AN12" s="7"/>
      <c r="AO12" s="36"/>
      <c r="AP12" s="36"/>
      <c r="AQ12" s="7"/>
      <c r="AR12" s="7"/>
      <c r="AS12" s="7"/>
      <c r="AT12" s="36"/>
      <c r="AU12" s="36"/>
      <c r="AV12" s="7"/>
      <c r="AW12" s="36"/>
      <c r="AX12" s="36"/>
      <c r="AY12" s="7"/>
      <c r="AZ12" s="36"/>
      <c r="BA12" s="36"/>
      <c r="BB12" s="7"/>
      <c r="BC12" s="36"/>
      <c r="BD12" s="7"/>
      <c r="BE12" s="36"/>
      <c r="BF12" s="7"/>
      <c r="BG12" s="36"/>
      <c r="BH12" s="7"/>
      <c r="BI12" s="36"/>
      <c r="BJ12" s="7"/>
      <c r="BK12" s="36"/>
      <c r="BL12" s="7"/>
      <c r="BM12" s="36"/>
      <c r="BN12" s="7"/>
      <c r="BO12" s="36"/>
      <c r="BP12" s="14"/>
      <c r="BQ12" s="14"/>
      <c r="BR12" s="7"/>
      <c r="BS12" s="7"/>
      <c r="BT12" s="7"/>
      <c r="BU12" s="15"/>
      <c r="BV12" s="15"/>
      <c r="BW12" s="300"/>
      <c r="BX12" s="300"/>
      <c r="BY12" s="33"/>
      <c r="BZ12" s="36"/>
    </row>
    <row r="13" spans="1:78" s="1" customFormat="1" ht="15" customHeight="1">
      <c r="A13" s="12"/>
      <c r="B13" s="24"/>
      <c r="C13" s="24"/>
      <c r="D13" s="24"/>
      <c r="E13" s="3"/>
      <c r="F13" s="9"/>
      <c r="G13" s="10"/>
      <c r="H13" s="3"/>
      <c r="I13" s="11"/>
      <c r="J13" s="3"/>
      <c r="K13" s="11"/>
      <c r="L13" s="11"/>
      <c r="M13" s="11"/>
      <c r="N13" s="11"/>
      <c r="O13" s="11"/>
      <c r="P13" s="3"/>
      <c r="Q13" s="12"/>
      <c r="R13" s="12"/>
      <c r="S13" s="12"/>
      <c r="T13" s="12"/>
      <c r="U13" s="12"/>
      <c r="V13" s="25"/>
      <c r="W13" s="111"/>
      <c r="X13" s="35"/>
      <c r="Y13" s="12"/>
      <c r="Z13" s="36"/>
      <c r="AA13" s="36"/>
      <c r="AB13" s="7"/>
      <c r="AC13" s="33"/>
      <c r="AD13" s="33"/>
      <c r="AE13" s="33"/>
      <c r="AF13" s="7"/>
      <c r="AG13" s="33"/>
      <c r="AH13" s="36"/>
      <c r="AI13" s="36"/>
      <c r="AJ13" s="33"/>
      <c r="AK13" s="36"/>
      <c r="AL13" s="7"/>
      <c r="AM13" s="36"/>
      <c r="AN13" s="7"/>
      <c r="AO13" s="36"/>
      <c r="AP13" s="36"/>
      <c r="AQ13" s="7"/>
      <c r="AR13" s="7"/>
      <c r="AS13" s="7"/>
      <c r="AT13" s="36"/>
      <c r="AU13" s="36"/>
      <c r="AV13" s="7"/>
      <c r="AW13" s="36"/>
      <c r="AX13" s="36"/>
      <c r="AY13" s="7"/>
      <c r="AZ13" s="36"/>
      <c r="BA13" s="36"/>
      <c r="BB13" s="7"/>
      <c r="BC13" s="36"/>
      <c r="BD13" s="7"/>
      <c r="BE13" s="36"/>
      <c r="BF13" s="7"/>
      <c r="BG13" s="36"/>
      <c r="BH13" s="7"/>
      <c r="BI13" s="36"/>
      <c r="BJ13" s="7"/>
      <c r="BK13" s="36"/>
      <c r="BL13" s="7"/>
      <c r="BM13" s="36"/>
      <c r="BN13" s="7"/>
      <c r="BO13" s="36"/>
      <c r="BP13" s="14"/>
      <c r="BQ13" s="14"/>
      <c r="BR13" s="7"/>
      <c r="BS13" s="7"/>
      <c r="BT13" s="7"/>
      <c r="BU13" s="15"/>
      <c r="BV13" s="15"/>
      <c r="BW13" s="300"/>
      <c r="BX13" s="300"/>
      <c r="BY13" s="33"/>
      <c r="BZ13" s="36"/>
    </row>
    <row r="14" spans="1:78" s="1" customFormat="1" ht="15" customHeight="1">
      <c r="A14" s="12" t="s">
        <v>7</v>
      </c>
      <c r="B14" s="12" t="s">
        <v>171</v>
      </c>
      <c r="C14" s="12" t="s">
        <v>226</v>
      </c>
      <c r="D14" s="12"/>
      <c r="E14" s="3">
        <v>250005</v>
      </c>
      <c r="F14" s="12" t="s">
        <v>13</v>
      </c>
      <c r="G14" s="24" t="s">
        <v>13</v>
      </c>
      <c r="H14" s="3">
        <v>4</v>
      </c>
      <c r="I14" s="3">
        <v>39</v>
      </c>
      <c r="J14" s="3">
        <v>1401</v>
      </c>
      <c r="K14" s="3" t="s">
        <v>186</v>
      </c>
      <c r="L14" s="3" t="s">
        <v>189</v>
      </c>
      <c r="M14" s="11" t="s">
        <v>187</v>
      </c>
      <c r="N14" s="11" t="s">
        <v>187</v>
      </c>
      <c r="O14" s="11" t="s">
        <v>193</v>
      </c>
      <c r="P14" s="3" t="s">
        <v>188</v>
      </c>
      <c r="Q14" s="12" t="s">
        <v>110</v>
      </c>
      <c r="R14" s="12" t="s">
        <v>222</v>
      </c>
      <c r="S14" s="12"/>
      <c r="T14" s="12" t="s">
        <v>36</v>
      </c>
      <c r="U14" s="12" t="s">
        <v>13</v>
      </c>
      <c r="V14" s="25" t="s">
        <v>69</v>
      </c>
      <c r="W14" s="25" t="s">
        <v>142</v>
      </c>
      <c r="X14" s="12" t="s">
        <v>173</v>
      </c>
      <c r="Y14" s="110" t="s">
        <v>172</v>
      </c>
      <c r="Z14" s="33">
        <v>2100000</v>
      </c>
      <c r="AA14" s="33"/>
      <c r="AB14" s="7">
        <f>Z14+AA14</f>
        <v>2100000</v>
      </c>
      <c r="AC14" s="33"/>
      <c r="AD14" s="33">
        <f>AB14+AC14</f>
        <v>2100000</v>
      </c>
      <c r="AE14" s="33"/>
      <c r="AF14" s="7">
        <f>+AD14+AE14</f>
        <v>2100000</v>
      </c>
      <c r="AG14" s="33"/>
      <c r="AH14" s="33">
        <v>10068500</v>
      </c>
      <c r="AI14" s="33">
        <v>13068500</v>
      </c>
      <c r="AJ14" s="33">
        <v>0</v>
      </c>
      <c r="AK14" s="33"/>
      <c r="AL14" s="7">
        <f>AK14</f>
        <v>0</v>
      </c>
      <c r="AM14" s="33"/>
      <c r="AN14" s="7">
        <f>AM14</f>
        <v>0</v>
      </c>
      <c r="AO14" s="33"/>
      <c r="AP14" s="33"/>
      <c r="AQ14" s="7">
        <f>AO14+AP14</f>
        <v>0</v>
      </c>
      <c r="AR14" s="7">
        <f>AK14+AM14+AO14</f>
        <v>0</v>
      </c>
      <c r="AS14" s="7">
        <f>AL14+AN14+AQ14</f>
        <v>0</v>
      </c>
      <c r="AT14" s="33"/>
      <c r="AU14" s="33"/>
      <c r="AV14" s="7">
        <f>AT14+AU14</f>
        <v>0</v>
      </c>
      <c r="AW14" s="33">
        <v>33675</v>
      </c>
      <c r="AX14" s="33"/>
      <c r="AY14" s="7">
        <f>AW14+AX14</f>
        <v>33675</v>
      </c>
      <c r="AZ14" s="33">
        <v>53800</v>
      </c>
      <c r="BA14" s="33"/>
      <c r="BB14" s="7">
        <f>AZ14+BA14</f>
        <v>53800</v>
      </c>
      <c r="BC14" s="33"/>
      <c r="BD14" s="7">
        <f>BC14</f>
        <v>0</v>
      </c>
      <c r="BE14" s="33"/>
      <c r="BF14" s="7">
        <f>BE14</f>
        <v>0</v>
      </c>
      <c r="BG14" s="33"/>
      <c r="BH14" s="7">
        <f>BG14</f>
        <v>0</v>
      </c>
      <c r="BI14" s="33"/>
      <c r="BJ14" s="7">
        <f>BI14</f>
        <v>0</v>
      </c>
      <c r="BK14" s="33"/>
      <c r="BL14" s="7">
        <f>BK14</f>
        <v>0</v>
      </c>
      <c r="BM14" s="33"/>
      <c r="BN14" s="7">
        <f>BM14</f>
        <v>0</v>
      </c>
      <c r="BO14" s="33"/>
      <c r="BP14" s="14">
        <f>AK14+AM14+AO14+AT14+AW14+AZ14+BC14+BE14+BG14+BI14+BK14+BM14</f>
        <v>87475</v>
      </c>
      <c r="BQ14" s="14">
        <f>AL14+AN14+AQ14+AV14+AY14+BB14</f>
        <v>87475</v>
      </c>
      <c r="BR14" s="7"/>
      <c r="BS14" s="7">
        <f>AD14-BP14</f>
        <v>2012525</v>
      </c>
      <c r="BT14" s="7">
        <f>AD14-BQ14</f>
        <v>2012525</v>
      </c>
      <c r="BU14" s="15">
        <f>BP14/AD14</f>
        <v>4.1654761904761903E-2</v>
      </c>
      <c r="BV14" s="15">
        <f>BQ14/AD14</f>
        <v>4.1654761904761903E-2</v>
      </c>
      <c r="BW14" s="300"/>
      <c r="BX14" s="300"/>
      <c r="BY14" s="33"/>
      <c r="BZ14" s="36"/>
    </row>
    <row r="15" spans="1:78" s="1" customFormat="1" ht="15" customHeight="1">
      <c r="A15" s="12" t="s">
        <v>7</v>
      </c>
      <c r="B15" s="24" t="s">
        <v>62</v>
      </c>
      <c r="C15" s="24" t="s">
        <v>227</v>
      </c>
      <c r="D15" s="24"/>
      <c r="E15" s="3">
        <v>255005</v>
      </c>
      <c r="F15" s="9" t="s">
        <v>13</v>
      </c>
      <c r="G15" s="10" t="s">
        <v>13</v>
      </c>
      <c r="H15" s="3">
        <v>4</v>
      </c>
      <c r="I15" s="3">
        <v>35</v>
      </c>
      <c r="J15" s="3">
        <v>1403</v>
      </c>
      <c r="K15" s="3" t="s">
        <v>186</v>
      </c>
      <c r="L15" s="3" t="s">
        <v>189</v>
      </c>
      <c r="M15" s="11" t="s">
        <v>187</v>
      </c>
      <c r="N15" s="11" t="s">
        <v>187</v>
      </c>
      <c r="O15" s="11" t="s">
        <v>193</v>
      </c>
      <c r="P15" s="3" t="s">
        <v>188</v>
      </c>
      <c r="Q15" s="12" t="s">
        <v>110</v>
      </c>
      <c r="R15" s="12" t="s">
        <v>222</v>
      </c>
      <c r="S15" s="12"/>
      <c r="T15" s="12" t="s">
        <v>36</v>
      </c>
      <c r="U15" s="12" t="s">
        <v>13</v>
      </c>
      <c r="V15" s="25" t="s">
        <v>69</v>
      </c>
      <c r="W15" s="34">
        <v>13</v>
      </c>
      <c r="X15" s="24" t="s">
        <v>159</v>
      </c>
      <c r="Y15" s="110" t="s">
        <v>38</v>
      </c>
      <c r="Z15" s="36">
        <v>11684600</v>
      </c>
      <c r="AA15" s="36"/>
      <c r="AB15" s="7">
        <f>Z15+AA15</f>
        <v>11684600</v>
      </c>
      <c r="AC15" s="33"/>
      <c r="AD15" s="33">
        <f>AB15+AC15</f>
        <v>11684600</v>
      </c>
      <c r="AE15" s="33"/>
      <c r="AF15" s="7">
        <f>+AD15+AE15</f>
        <v>11684600</v>
      </c>
      <c r="AG15" s="33"/>
      <c r="AH15" s="36">
        <v>7000000</v>
      </c>
      <c r="AI15" s="36">
        <v>9000000</v>
      </c>
      <c r="AJ15" s="33">
        <v>55265000</v>
      </c>
      <c r="AK15" s="36"/>
      <c r="AL15" s="7">
        <f>AK15</f>
        <v>0</v>
      </c>
      <c r="AM15" s="36"/>
      <c r="AN15" s="7">
        <f>AM15</f>
        <v>0</v>
      </c>
      <c r="AO15" s="36"/>
      <c r="AP15" s="36"/>
      <c r="AQ15" s="7">
        <f>AO15+AP15</f>
        <v>0</v>
      </c>
      <c r="AR15" s="7">
        <f>AK15+AM15+AO15</f>
        <v>0</v>
      </c>
      <c r="AS15" s="7">
        <f>AL15+AN15+AQ15</f>
        <v>0</v>
      </c>
      <c r="AT15" s="36"/>
      <c r="AU15" s="36"/>
      <c r="AV15" s="7">
        <f>AT15+AU15</f>
        <v>0</v>
      </c>
      <c r="AW15" s="36"/>
      <c r="AX15" s="36"/>
      <c r="AY15" s="7">
        <f>AW15+AX15</f>
        <v>0</v>
      </c>
      <c r="AZ15" s="36"/>
      <c r="BA15" s="36"/>
      <c r="BB15" s="7">
        <f>AZ15+BA15</f>
        <v>0</v>
      </c>
      <c r="BC15" s="36"/>
      <c r="BD15" s="7">
        <f>BC15</f>
        <v>0</v>
      </c>
      <c r="BE15" s="36"/>
      <c r="BF15" s="7">
        <f>BE15</f>
        <v>0</v>
      </c>
      <c r="BG15" s="36"/>
      <c r="BH15" s="7">
        <f>BG15</f>
        <v>0</v>
      </c>
      <c r="BI15" s="36"/>
      <c r="BJ15" s="7">
        <f>BI15</f>
        <v>0</v>
      </c>
      <c r="BK15" s="36"/>
      <c r="BL15" s="7">
        <f>BK15</f>
        <v>0</v>
      </c>
      <c r="BM15" s="36"/>
      <c r="BN15" s="7">
        <f>BM15</f>
        <v>0</v>
      </c>
      <c r="BO15" s="36">
        <v>8771929.8200000003</v>
      </c>
      <c r="BP15" s="14">
        <f>AK15+AM15+AO15+AT15+AW15+AZ15+BC15+BE15+BG15+BI15+BK15+BM15</f>
        <v>0</v>
      </c>
      <c r="BQ15" s="14">
        <f>AL15+AN15+AQ15+AV15+AY15+BB15</f>
        <v>0</v>
      </c>
      <c r="BR15" s="7"/>
      <c r="BS15" s="7">
        <f>AD15-BP15</f>
        <v>11684600</v>
      </c>
      <c r="BT15" s="7">
        <f>AD15-BQ15</f>
        <v>11684600</v>
      </c>
      <c r="BU15" s="15">
        <f>BP15/AD15</f>
        <v>0</v>
      </c>
      <c r="BV15" s="15">
        <f>BQ15/AD15</f>
        <v>0</v>
      </c>
      <c r="BW15" s="300"/>
      <c r="BX15" s="300"/>
      <c r="BY15" s="33"/>
      <c r="BZ15" s="36"/>
    </row>
    <row r="16" spans="1:78" s="1" customFormat="1">
      <c r="A16" s="12" t="s">
        <v>7</v>
      </c>
      <c r="B16" s="24" t="s">
        <v>62</v>
      </c>
      <c r="C16" s="24" t="s">
        <v>227</v>
      </c>
      <c r="D16" s="24"/>
      <c r="E16" s="3">
        <v>255005</v>
      </c>
      <c r="F16" s="9"/>
      <c r="G16" s="10"/>
      <c r="H16" s="3"/>
      <c r="I16" s="3"/>
      <c r="J16" s="3"/>
      <c r="K16" s="3"/>
      <c r="L16" s="3"/>
      <c r="M16" s="11"/>
      <c r="N16" s="11"/>
      <c r="O16" s="11"/>
      <c r="P16" s="3"/>
      <c r="Q16" s="12"/>
      <c r="R16" s="12"/>
      <c r="S16" s="12"/>
      <c r="T16" s="12"/>
      <c r="U16" s="12"/>
      <c r="V16" s="25"/>
      <c r="W16" s="34"/>
      <c r="X16" s="24" t="s">
        <v>457</v>
      </c>
      <c r="Y16" s="110" t="s">
        <v>38</v>
      </c>
      <c r="Z16" s="36"/>
      <c r="AA16" s="36"/>
      <c r="AB16" s="7"/>
      <c r="AC16" s="33"/>
      <c r="AD16" s="33"/>
      <c r="AE16" s="33"/>
      <c r="AF16" s="7"/>
      <c r="AG16" s="33"/>
      <c r="AH16" s="36">
        <v>30000000</v>
      </c>
      <c r="AI16" s="36">
        <v>30000000</v>
      </c>
      <c r="AJ16" s="33">
        <v>100000000</v>
      </c>
      <c r="AK16" s="36"/>
      <c r="AL16" s="7"/>
      <c r="AM16" s="36"/>
      <c r="AN16" s="7"/>
      <c r="AO16" s="36"/>
      <c r="AP16" s="36"/>
      <c r="AQ16" s="7"/>
      <c r="AR16" s="7"/>
      <c r="AS16" s="7"/>
      <c r="AT16" s="36"/>
      <c r="AU16" s="36"/>
      <c r="AV16" s="7"/>
      <c r="AW16" s="36"/>
      <c r="AX16" s="36"/>
      <c r="AY16" s="7"/>
      <c r="AZ16" s="36"/>
      <c r="BA16" s="36"/>
      <c r="BB16" s="7"/>
      <c r="BC16" s="36"/>
      <c r="BD16" s="7"/>
      <c r="BE16" s="36"/>
      <c r="BF16" s="7"/>
      <c r="BG16" s="36"/>
      <c r="BH16" s="7"/>
      <c r="BI16" s="36"/>
      <c r="BJ16" s="7"/>
      <c r="BK16" s="36"/>
      <c r="BL16" s="7"/>
      <c r="BM16" s="36"/>
      <c r="BN16" s="7"/>
      <c r="BO16" s="36"/>
      <c r="BP16" s="14"/>
      <c r="BQ16" s="14"/>
      <c r="BR16" s="7"/>
      <c r="BS16" s="7"/>
      <c r="BT16" s="7"/>
      <c r="BU16" s="15"/>
      <c r="BV16" s="15"/>
      <c r="BW16" s="300"/>
      <c r="BX16" s="300"/>
      <c r="BY16" s="33"/>
      <c r="BZ16" s="36"/>
    </row>
    <row r="17" spans="1:79" s="1" customFormat="1" ht="16.5" thickBot="1">
      <c r="A17" s="12"/>
      <c r="B17" s="24"/>
      <c r="C17" s="24"/>
      <c r="D17" s="24"/>
      <c r="E17" s="3"/>
      <c r="F17" s="9"/>
      <c r="G17" s="10"/>
      <c r="H17" s="3"/>
      <c r="I17" s="3"/>
      <c r="J17" s="3"/>
      <c r="K17" s="3"/>
      <c r="L17" s="3"/>
      <c r="M17" s="11"/>
      <c r="N17" s="11"/>
      <c r="O17" s="11"/>
      <c r="P17" s="3"/>
      <c r="Q17" s="12"/>
      <c r="R17" s="12"/>
      <c r="S17" s="12"/>
      <c r="T17" s="12"/>
      <c r="U17" s="12"/>
      <c r="V17" s="25"/>
      <c r="W17" s="34"/>
      <c r="X17" s="24"/>
      <c r="Y17" s="110"/>
      <c r="Z17" s="36"/>
      <c r="AA17" s="36"/>
      <c r="AB17" s="7"/>
      <c r="AC17" s="33"/>
      <c r="AD17" s="33"/>
      <c r="AE17" s="33"/>
      <c r="AF17" s="7"/>
      <c r="AG17" s="33"/>
      <c r="AH17" s="324">
        <f>SUM(AH14:AH16)</f>
        <v>47068500</v>
      </c>
      <c r="AI17" s="324">
        <f>SUM(AI14:AI16)</f>
        <v>52068500</v>
      </c>
      <c r="AJ17" s="324">
        <f>SUM(AJ14:AJ16)</f>
        <v>155265000</v>
      </c>
      <c r="AK17" s="36"/>
      <c r="AL17" s="7"/>
      <c r="AM17" s="36"/>
      <c r="AN17" s="7"/>
      <c r="AO17" s="36"/>
      <c r="AP17" s="36"/>
      <c r="AQ17" s="7"/>
      <c r="AR17" s="7"/>
      <c r="AS17" s="7"/>
      <c r="AT17" s="36"/>
      <c r="AU17" s="36"/>
      <c r="AV17" s="7"/>
      <c r="AW17" s="36"/>
      <c r="AX17" s="36"/>
      <c r="AY17" s="7"/>
      <c r="AZ17" s="36"/>
      <c r="BA17" s="36"/>
      <c r="BB17" s="7"/>
      <c r="BC17" s="36"/>
      <c r="BD17" s="7"/>
      <c r="BE17" s="36"/>
      <c r="BF17" s="7"/>
      <c r="BG17" s="36"/>
      <c r="BH17" s="7"/>
      <c r="BI17" s="36"/>
      <c r="BJ17" s="7"/>
      <c r="BK17" s="36"/>
      <c r="BL17" s="7"/>
      <c r="BM17" s="36"/>
      <c r="BN17" s="7"/>
      <c r="BO17" s="36"/>
      <c r="BP17" s="14"/>
      <c r="BQ17" s="14"/>
      <c r="BR17" s="7"/>
      <c r="BS17" s="7"/>
      <c r="BT17" s="7"/>
      <c r="BU17" s="15"/>
      <c r="BV17" s="15"/>
      <c r="BW17" s="300"/>
      <c r="BX17" s="300"/>
      <c r="BY17" s="33"/>
      <c r="BZ17" s="36"/>
    </row>
    <row r="18" spans="1:79" s="1" customFormat="1">
      <c r="A18" s="12"/>
      <c r="B18" s="24"/>
      <c r="C18" s="24"/>
      <c r="D18" s="24"/>
      <c r="E18" s="3"/>
      <c r="F18" s="9"/>
      <c r="G18" s="10"/>
      <c r="H18" s="3"/>
      <c r="I18" s="3"/>
      <c r="J18" s="3"/>
      <c r="K18" s="3"/>
      <c r="L18" s="3"/>
      <c r="M18" s="11"/>
      <c r="N18" s="11"/>
      <c r="O18" s="11"/>
      <c r="P18" s="3"/>
      <c r="Q18" s="12"/>
      <c r="R18" s="12"/>
      <c r="S18" s="12"/>
      <c r="T18" s="12"/>
      <c r="U18" s="12"/>
      <c r="V18" s="25"/>
      <c r="W18" s="34"/>
      <c r="X18" s="24"/>
      <c r="Y18" s="110"/>
      <c r="Z18" s="36"/>
      <c r="AA18" s="36"/>
      <c r="AB18" s="7"/>
      <c r="AC18" s="33"/>
      <c r="AD18" s="33"/>
      <c r="AE18" s="33"/>
      <c r="AF18" s="7"/>
      <c r="AG18" s="33"/>
      <c r="AH18" s="36"/>
      <c r="AI18" s="36"/>
      <c r="AJ18" s="33"/>
      <c r="AK18" s="36"/>
      <c r="AL18" s="7"/>
      <c r="AM18" s="36"/>
      <c r="AN18" s="7"/>
      <c r="AO18" s="36"/>
      <c r="AP18" s="36"/>
      <c r="AQ18" s="7"/>
      <c r="AR18" s="7"/>
      <c r="AS18" s="7"/>
      <c r="AT18" s="36"/>
      <c r="AU18" s="36"/>
      <c r="AV18" s="7"/>
      <c r="AW18" s="36"/>
      <c r="AX18" s="36"/>
      <c r="AY18" s="7"/>
      <c r="AZ18" s="36"/>
      <c r="BA18" s="36"/>
      <c r="BB18" s="7"/>
      <c r="BC18" s="36"/>
      <c r="BD18" s="7"/>
      <c r="BE18" s="36"/>
      <c r="BF18" s="7"/>
      <c r="BG18" s="36"/>
      <c r="BH18" s="7"/>
      <c r="BI18" s="36"/>
      <c r="BJ18" s="7"/>
      <c r="BK18" s="36"/>
      <c r="BL18" s="7"/>
      <c r="BM18" s="36"/>
      <c r="BN18" s="7"/>
      <c r="BO18" s="36"/>
      <c r="BP18" s="14"/>
      <c r="BQ18" s="14"/>
      <c r="BR18" s="7"/>
      <c r="BS18" s="7"/>
      <c r="BT18" s="7"/>
      <c r="BU18" s="15"/>
      <c r="BV18" s="15"/>
      <c r="BW18" s="300"/>
      <c r="BX18" s="300"/>
      <c r="BY18" s="33"/>
      <c r="BZ18" s="36"/>
    </row>
    <row r="19" spans="1:79" s="1" customFormat="1" ht="15" customHeight="1">
      <c r="A19" s="12" t="s">
        <v>7</v>
      </c>
      <c r="B19" s="24" t="s">
        <v>62</v>
      </c>
      <c r="C19" s="24" t="s">
        <v>227</v>
      </c>
      <c r="D19" s="24"/>
      <c r="E19" s="3">
        <v>255005</v>
      </c>
      <c r="F19" s="9" t="s">
        <v>13</v>
      </c>
      <c r="G19" s="10" t="s">
        <v>13</v>
      </c>
      <c r="H19" s="3">
        <v>4</v>
      </c>
      <c r="I19" s="3">
        <v>35</v>
      </c>
      <c r="J19" s="3">
        <v>1404</v>
      </c>
      <c r="K19" s="3" t="s">
        <v>186</v>
      </c>
      <c r="L19" s="3" t="s">
        <v>189</v>
      </c>
      <c r="M19" s="11" t="s">
        <v>187</v>
      </c>
      <c r="N19" s="11" t="s">
        <v>187</v>
      </c>
      <c r="O19" s="11" t="s">
        <v>193</v>
      </c>
      <c r="P19" s="3" t="s">
        <v>188</v>
      </c>
      <c r="Q19" s="12" t="s">
        <v>110</v>
      </c>
      <c r="R19" s="12" t="s">
        <v>222</v>
      </c>
      <c r="S19" s="12"/>
      <c r="T19" s="12" t="s">
        <v>36</v>
      </c>
      <c r="U19" s="12" t="s">
        <v>13</v>
      </c>
      <c r="V19" s="25" t="s">
        <v>69</v>
      </c>
      <c r="W19" s="34">
        <v>13</v>
      </c>
      <c r="X19" s="24" t="s">
        <v>281</v>
      </c>
      <c r="Y19" s="110" t="s">
        <v>38</v>
      </c>
      <c r="Z19" s="36">
        <v>10000000</v>
      </c>
      <c r="AA19" s="36"/>
      <c r="AB19" s="7">
        <f>Z19+AA19</f>
        <v>10000000</v>
      </c>
      <c r="AC19" s="33"/>
      <c r="AD19" s="33">
        <f>AB19+AC19</f>
        <v>10000000</v>
      </c>
      <c r="AE19" s="33"/>
      <c r="AF19" s="7">
        <f>+AD19+AE19</f>
        <v>10000000</v>
      </c>
      <c r="AG19" s="33"/>
      <c r="AH19" s="36">
        <v>8722000</v>
      </c>
      <c r="AI19" s="36">
        <v>19134500</v>
      </c>
      <c r="AJ19" s="33">
        <v>36795436</v>
      </c>
      <c r="AK19" s="36"/>
      <c r="AL19" s="7">
        <f>AK19</f>
        <v>0</v>
      </c>
      <c r="AM19" s="36">
        <v>48240</v>
      </c>
      <c r="AN19" s="7">
        <f>AM19</f>
        <v>48240</v>
      </c>
      <c r="AO19" s="36"/>
      <c r="AP19" s="36"/>
      <c r="AQ19" s="7">
        <f>AO19+AP19</f>
        <v>0</v>
      </c>
      <c r="AR19" s="7">
        <f>AK19+AM19+AO19</f>
        <v>48240</v>
      </c>
      <c r="AS19" s="7">
        <f>AL19+AN19+AQ19</f>
        <v>48240</v>
      </c>
      <c r="AT19" s="36"/>
      <c r="AU19" s="36"/>
      <c r="AV19" s="7">
        <f>AT19+AU19</f>
        <v>0</v>
      </c>
      <c r="AW19" s="36"/>
      <c r="AX19" s="36"/>
      <c r="AY19" s="7">
        <f>AW19+AX19</f>
        <v>0</v>
      </c>
      <c r="AZ19" s="36">
        <v>18152.900000000001</v>
      </c>
      <c r="BA19" s="36"/>
      <c r="BB19" s="7">
        <f>AZ19+BA19</f>
        <v>18152.900000000001</v>
      </c>
      <c r="BC19" s="36"/>
      <c r="BD19" s="7">
        <f>BC19</f>
        <v>0</v>
      </c>
      <c r="BE19" s="36"/>
      <c r="BF19" s="7">
        <f>BE19</f>
        <v>0</v>
      </c>
      <c r="BG19" s="36"/>
      <c r="BH19" s="7">
        <f>BG19</f>
        <v>0</v>
      </c>
      <c r="BI19" s="36"/>
      <c r="BJ19" s="7">
        <f>BI19</f>
        <v>0</v>
      </c>
      <c r="BK19" s="36"/>
      <c r="BL19" s="7">
        <f>BK19</f>
        <v>0</v>
      </c>
      <c r="BM19" s="36"/>
      <c r="BN19" s="7">
        <f>BM19</f>
        <v>0</v>
      </c>
      <c r="BO19" s="36"/>
      <c r="BP19" s="14">
        <f>AK19+AM19+AO19+AT19+AW19+AZ19+BC19+BE19+BG19+BI19+BK19+BM19</f>
        <v>66392.899999999994</v>
      </c>
      <c r="BQ19" s="14">
        <f>AL19+AN19+AQ19+AV19+AY19+BB19</f>
        <v>66392.899999999994</v>
      </c>
      <c r="BR19" s="7"/>
      <c r="BS19" s="7">
        <f>AD19-BP19</f>
        <v>9933607.0999999996</v>
      </c>
      <c r="BT19" s="7">
        <f>AD19-BQ19</f>
        <v>9933607.0999999996</v>
      </c>
      <c r="BU19" s="15">
        <f>BP19/AD19</f>
        <v>6.6392899999999991E-3</v>
      </c>
      <c r="BV19" s="15">
        <f>BQ19/AD19</f>
        <v>6.6392899999999991E-3</v>
      </c>
      <c r="BW19" s="300"/>
      <c r="BX19" s="300"/>
      <c r="BY19" s="33"/>
      <c r="BZ19" s="36"/>
      <c r="CA19" s="317">
        <f>+AF19+AH19+AI19+AJ19</f>
        <v>74651936</v>
      </c>
    </row>
    <row r="20" spans="1:79" s="1" customFormat="1" ht="15" customHeight="1">
      <c r="A20" s="12" t="s">
        <v>7</v>
      </c>
      <c r="B20" s="24" t="s">
        <v>62</v>
      </c>
      <c r="C20" s="24" t="s">
        <v>227</v>
      </c>
      <c r="D20" s="24"/>
      <c r="E20" s="3">
        <v>255005</v>
      </c>
      <c r="F20" s="9"/>
      <c r="G20" s="10"/>
      <c r="H20" s="3"/>
      <c r="I20" s="3"/>
      <c r="J20" s="3"/>
      <c r="K20" s="3"/>
      <c r="L20" s="3"/>
      <c r="M20" s="11"/>
      <c r="N20" s="11"/>
      <c r="O20" s="11"/>
      <c r="P20" s="3"/>
      <c r="Q20" s="12"/>
      <c r="R20" s="12"/>
      <c r="S20" s="12"/>
      <c r="T20" s="12"/>
      <c r="U20" s="12"/>
      <c r="V20" s="25"/>
      <c r="W20" s="34"/>
      <c r="X20" s="24" t="s">
        <v>456</v>
      </c>
      <c r="Y20" s="110" t="s">
        <v>38</v>
      </c>
      <c r="Z20" s="36"/>
      <c r="AA20" s="36"/>
      <c r="AB20" s="7"/>
      <c r="AC20" s="33"/>
      <c r="AD20" s="33"/>
      <c r="AE20" s="33"/>
      <c r="AF20" s="7"/>
      <c r="AG20" s="33"/>
      <c r="AH20" s="36">
        <v>14965387</v>
      </c>
      <c r="AI20" s="36">
        <v>59804569</v>
      </c>
      <c r="AJ20" s="33">
        <v>30000000</v>
      </c>
      <c r="AK20" s="36"/>
      <c r="AL20" s="7"/>
      <c r="AM20" s="36"/>
      <c r="AN20" s="7"/>
      <c r="AO20" s="36"/>
      <c r="AP20" s="36"/>
      <c r="AQ20" s="7"/>
      <c r="AR20" s="7"/>
      <c r="AS20" s="7"/>
      <c r="AT20" s="36"/>
      <c r="AU20" s="36"/>
      <c r="AV20" s="7"/>
      <c r="AW20" s="36"/>
      <c r="AX20" s="36"/>
      <c r="AY20" s="7"/>
      <c r="AZ20" s="36"/>
      <c r="BA20" s="36"/>
      <c r="BB20" s="7"/>
      <c r="BC20" s="36"/>
      <c r="BD20" s="7"/>
      <c r="BE20" s="36"/>
      <c r="BF20" s="7"/>
      <c r="BG20" s="36"/>
      <c r="BH20" s="7"/>
      <c r="BI20" s="36"/>
      <c r="BJ20" s="7"/>
      <c r="BK20" s="36"/>
      <c r="BL20" s="7"/>
      <c r="BM20" s="36"/>
      <c r="BN20" s="7"/>
      <c r="BO20" s="36"/>
      <c r="BP20" s="14"/>
      <c r="BQ20" s="14"/>
      <c r="BR20" s="7"/>
      <c r="BS20" s="7"/>
      <c r="BT20" s="7"/>
      <c r="BU20" s="15"/>
      <c r="BV20" s="15"/>
      <c r="BW20" s="300"/>
      <c r="BX20" s="300"/>
      <c r="BY20" s="33"/>
      <c r="BZ20" s="36"/>
      <c r="CA20" s="317"/>
    </row>
    <row r="21" spans="1:79" s="1" customFormat="1" ht="17.100000000000001" customHeight="1" thickBot="1">
      <c r="A21" s="12"/>
      <c r="B21" s="24"/>
      <c r="C21" s="24"/>
      <c r="D21" s="24"/>
      <c r="E21" s="3"/>
      <c r="F21" s="9"/>
      <c r="G21" s="10"/>
      <c r="H21" s="3"/>
      <c r="I21" s="3"/>
      <c r="J21" s="3"/>
      <c r="K21" s="3"/>
      <c r="L21" s="3"/>
      <c r="M21" s="11"/>
      <c r="N21" s="11"/>
      <c r="O21" s="11"/>
      <c r="P21" s="3"/>
      <c r="Q21" s="12"/>
      <c r="R21" s="12"/>
      <c r="S21" s="12"/>
      <c r="T21" s="12"/>
      <c r="U21" s="12"/>
      <c r="V21" s="25"/>
      <c r="W21" s="34"/>
      <c r="X21" s="24"/>
      <c r="Y21" s="110"/>
      <c r="Z21" s="36"/>
      <c r="AA21" s="36"/>
      <c r="AB21" s="7"/>
      <c r="AC21" s="33"/>
      <c r="AD21" s="33"/>
      <c r="AE21" s="33"/>
      <c r="AF21" s="7"/>
      <c r="AG21" s="33"/>
      <c r="AH21" s="324">
        <f>SUM(AH19:AH20)</f>
        <v>23687387</v>
      </c>
      <c r="AI21" s="324">
        <f>SUM(AI19:AI20)</f>
        <v>78939069</v>
      </c>
      <c r="AJ21" s="324">
        <f>SUM(AJ19:AJ20)</f>
        <v>66795436</v>
      </c>
      <c r="AK21" s="36"/>
      <c r="AL21" s="7"/>
      <c r="AM21" s="36"/>
      <c r="AN21" s="7"/>
      <c r="AO21" s="36"/>
      <c r="AP21" s="36"/>
      <c r="AQ21" s="7"/>
      <c r="AR21" s="7"/>
      <c r="AS21" s="7"/>
      <c r="AT21" s="36"/>
      <c r="AU21" s="36"/>
      <c r="AV21" s="7"/>
      <c r="AW21" s="36"/>
      <c r="AX21" s="36"/>
      <c r="AY21" s="7"/>
      <c r="AZ21" s="36"/>
      <c r="BA21" s="36"/>
      <c r="BB21" s="7"/>
      <c r="BC21" s="36"/>
      <c r="BD21" s="7"/>
      <c r="BE21" s="36"/>
      <c r="BF21" s="7"/>
      <c r="BG21" s="36"/>
      <c r="BH21" s="7"/>
      <c r="BI21" s="36"/>
      <c r="BJ21" s="7"/>
      <c r="BK21" s="36"/>
      <c r="BL21" s="7"/>
      <c r="BM21" s="36"/>
      <c r="BN21" s="7"/>
      <c r="BO21" s="36"/>
      <c r="BP21" s="14"/>
      <c r="BQ21" s="14"/>
      <c r="BR21" s="7"/>
      <c r="BS21" s="7"/>
      <c r="BT21" s="7"/>
      <c r="BU21" s="15"/>
      <c r="BV21" s="15"/>
      <c r="BW21" s="300"/>
      <c r="BX21" s="300"/>
      <c r="BY21" s="33"/>
      <c r="BZ21" s="36"/>
      <c r="CA21" s="317"/>
    </row>
    <row r="22" spans="1:79" s="1" customFormat="1" ht="15" customHeight="1">
      <c r="A22" s="12"/>
      <c r="B22" s="24"/>
      <c r="C22" s="24"/>
      <c r="D22" s="24"/>
      <c r="E22" s="3"/>
      <c r="F22" s="9"/>
      <c r="G22" s="10"/>
      <c r="H22" s="3"/>
      <c r="I22" s="3"/>
      <c r="J22" s="3"/>
      <c r="K22" s="3"/>
      <c r="L22" s="3"/>
      <c r="M22" s="11"/>
      <c r="N22" s="11"/>
      <c r="O22" s="11"/>
      <c r="P22" s="3"/>
      <c r="Q22" s="12"/>
      <c r="R22" s="12"/>
      <c r="S22" s="12"/>
      <c r="T22" s="12"/>
      <c r="U22" s="12"/>
      <c r="V22" s="25"/>
      <c r="W22" s="34"/>
      <c r="X22" s="10"/>
      <c r="Y22" s="110"/>
      <c r="Z22" s="36"/>
      <c r="AA22" s="36"/>
      <c r="AB22" s="7"/>
      <c r="AC22" s="33"/>
      <c r="AD22" s="33"/>
      <c r="AE22" s="33"/>
      <c r="AF22" s="7"/>
      <c r="AG22" s="33"/>
      <c r="AH22" s="322"/>
      <c r="AI22" s="322"/>
      <c r="AJ22" s="322"/>
      <c r="AK22" s="36"/>
      <c r="AL22" s="7"/>
      <c r="AM22" s="36"/>
      <c r="AN22" s="7"/>
      <c r="AO22" s="36"/>
      <c r="AP22" s="36"/>
      <c r="AQ22" s="7"/>
      <c r="AR22" s="7"/>
      <c r="AS22" s="7"/>
      <c r="AT22" s="36"/>
      <c r="AU22" s="36"/>
      <c r="AV22" s="7"/>
      <c r="AW22" s="36"/>
      <c r="AX22" s="36"/>
      <c r="AY22" s="7"/>
      <c r="AZ22" s="36"/>
      <c r="BA22" s="36"/>
      <c r="BB22" s="7"/>
      <c r="BC22" s="36"/>
      <c r="BD22" s="7"/>
      <c r="BE22" s="36"/>
      <c r="BF22" s="7"/>
      <c r="BG22" s="36"/>
      <c r="BH22" s="7"/>
      <c r="BI22" s="36"/>
      <c r="BJ22" s="7"/>
      <c r="BK22" s="36"/>
      <c r="BL22" s="7"/>
      <c r="BM22" s="36"/>
      <c r="BN22" s="7"/>
      <c r="BO22" s="36"/>
      <c r="BP22" s="14"/>
      <c r="BQ22" s="14"/>
      <c r="BR22" s="7"/>
      <c r="BS22" s="7"/>
      <c r="BT22" s="7"/>
      <c r="BU22" s="15"/>
      <c r="BV22" s="15"/>
      <c r="BW22" s="300"/>
      <c r="BX22" s="300"/>
      <c r="BY22" s="33"/>
      <c r="BZ22" s="36"/>
      <c r="CA22" s="317"/>
    </row>
    <row r="23" spans="1:79" s="1" customFormat="1" ht="15" customHeight="1">
      <c r="A23" s="12" t="s">
        <v>7</v>
      </c>
      <c r="B23" s="24" t="s">
        <v>62</v>
      </c>
      <c r="C23" s="24" t="s">
        <v>227</v>
      </c>
      <c r="D23" s="24" t="s">
        <v>13</v>
      </c>
      <c r="E23" s="3">
        <v>255005</v>
      </c>
      <c r="F23" s="9" t="s">
        <v>13</v>
      </c>
      <c r="G23" s="10" t="s">
        <v>13</v>
      </c>
      <c r="H23" s="3">
        <v>4</v>
      </c>
      <c r="I23" s="3">
        <v>36</v>
      </c>
      <c r="J23" s="3">
        <v>1401</v>
      </c>
      <c r="K23" s="3" t="s">
        <v>186</v>
      </c>
      <c r="L23" s="3" t="s">
        <v>189</v>
      </c>
      <c r="M23" s="11" t="s">
        <v>187</v>
      </c>
      <c r="N23" s="11" t="s">
        <v>187</v>
      </c>
      <c r="O23" s="11" t="s">
        <v>193</v>
      </c>
      <c r="P23" s="3" t="s">
        <v>188</v>
      </c>
      <c r="Q23" s="12" t="s">
        <v>110</v>
      </c>
      <c r="R23" s="12" t="s">
        <v>222</v>
      </c>
      <c r="S23" s="12"/>
      <c r="T23" s="12" t="s">
        <v>36</v>
      </c>
      <c r="U23" s="12" t="s">
        <v>13</v>
      </c>
      <c r="V23" s="25" t="s">
        <v>69</v>
      </c>
      <c r="W23" s="111">
        <v>13</v>
      </c>
      <c r="X23" s="9" t="s">
        <v>151</v>
      </c>
      <c r="Y23" s="110" t="s">
        <v>37</v>
      </c>
      <c r="Z23" s="33">
        <v>6815400</v>
      </c>
      <c r="AA23" s="33"/>
      <c r="AB23" s="7">
        <f>Z23+AA23</f>
        <v>6815400</v>
      </c>
      <c r="AC23" s="33"/>
      <c r="AD23" s="33">
        <f>AB23+AC23</f>
        <v>6815400</v>
      </c>
      <c r="AE23" s="33">
        <v>5000000</v>
      </c>
      <c r="AF23" s="7">
        <f>+AD23+AE23</f>
        <v>11815400</v>
      </c>
      <c r="AG23" s="33"/>
      <c r="AH23" s="33">
        <v>6815400</v>
      </c>
      <c r="AI23" s="33">
        <v>100000</v>
      </c>
      <c r="AJ23" s="33">
        <v>100000</v>
      </c>
      <c r="AK23" s="33"/>
      <c r="AL23" s="7">
        <f>AK23</f>
        <v>0</v>
      </c>
      <c r="AM23" s="33">
        <v>4119.6000000000004</v>
      </c>
      <c r="AN23" s="7">
        <f>AM23</f>
        <v>4119.6000000000004</v>
      </c>
      <c r="AO23" s="33">
        <v>-4119.6000000000004</v>
      </c>
      <c r="AP23" s="33">
        <v>0</v>
      </c>
      <c r="AQ23" s="7">
        <f>AO23+AP23</f>
        <v>-4119.6000000000004</v>
      </c>
      <c r="AR23" s="7">
        <f>AK23+AM23+AO23</f>
        <v>0</v>
      </c>
      <c r="AS23" s="7">
        <f>AL23+AN23+AQ23</f>
        <v>0</v>
      </c>
      <c r="AT23" s="33"/>
      <c r="AU23" s="33"/>
      <c r="AV23" s="7">
        <f>AT23+AU23</f>
        <v>0</v>
      </c>
      <c r="AW23" s="33"/>
      <c r="AX23" s="33"/>
      <c r="AY23" s="7">
        <f>AW23+AX23</f>
        <v>0</v>
      </c>
      <c r="AZ23" s="33"/>
      <c r="BA23" s="33"/>
      <c r="BB23" s="7">
        <f>AZ23+BA23</f>
        <v>0</v>
      </c>
      <c r="BC23" s="33"/>
      <c r="BD23" s="7">
        <f>BC23</f>
        <v>0</v>
      </c>
      <c r="BE23" s="33"/>
      <c r="BF23" s="7">
        <f>BE23</f>
        <v>0</v>
      </c>
      <c r="BG23" s="33"/>
      <c r="BH23" s="7">
        <f>BG23</f>
        <v>0</v>
      </c>
      <c r="BI23" s="33"/>
      <c r="BJ23" s="7">
        <f>BI23</f>
        <v>0</v>
      </c>
      <c r="BK23" s="33"/>
      <c r="BL23" s="7">
        <f>BK23</f>
        <v>0</v>
      </c>
      <c r="BM23" s="33"/>
      <c r="BN23" s="7">
        <f>BM23</f>
        <v>0</v>
      </c>
      <c r="BO23" s="33">
        <v>3614075.5</v>
      </c>
      <c r="BP23" s="14">
        <f>AK23+AM23+AO23+AT23+AW23+AZ23+BC23+BE23+BG23+BI23+BK23+BM23</f>
        <v>0</v>
      </c>
      <c r="BQ23" s="14">
        <f>AL23+AN23+AQ23+AV23+AY23+BB23</f>
        <v>0</v>
      </c>
      <c r="BR23" s="7"/>
      <c r="BS23" s="7">
        <f>AD23-BP23</f>
        <v>6815400</v>
      </c>
      <c r="BT23" s="7">
        <f>AD23-BQ23</f>
        <v>6815400</v>
      </c>
      <c r="BU23" s="15">
        <f>BP23/AD23</f>
        <v>0</v>
      </c>
      <c r="BV23" s="15">
        <f>BQ23/AD23</f>
        <v>0</v>
      </c>
      <c r="BW23" s="33">
        <v>55265000</v>
      </c>
      <c r="BX23" s="33"/>
      <c r="BY23" s="33"/>
      <c r="BZ23" s="36"/>
    </row>
    <row r="24" spans="1:79" s="1" customFormat="1" ht="15" customHeight="1">
      <c r="A24" s="12" t="s">
        <v>7</v>
      </c>
      <c r="B24" s="24" t="s">
        <v>62</v>
      </c>
      <c r="C24" s="24" t="s">
        <v>227</v>
      </c>
      <c r="D24" s="24"/>
      <c r="E24" s="3">
        <v>255005</v>
      </c>
      <c r="F24" s="9" t="s">
        <v>13</v>
      </c>
      <c r="G24" s="10" t="s">
        <v>13</v>
      </c>
      <c r="H24" s="3">
        <v>4</v>
      </c>
      <c r="I24" s="3">
        <v>35</v>
      </c>
      <c r="J24" s="3">
        <v>1404</v>
      </c>
      <c r="K24" s="3" t="s">
        <v>186</v>
      </c>
      <c r="L24" s="3" t="s">
        <v>189</v>
      </c>
      <c r="M24" s="11" t="s">
        <v>187</v>
      </c>
      <c r="N24" s="11" t="s">
        <v>187</v>
      </c>
      <c r="O24" s="11" t="s">
        <v>193</v>
      </c>
      <c r="P24" s="3" t="s">
        <v>188</v>
      </c>
      <c r="Q24" s="12" t="s">
        <v>110</v>
      </c>
      <c r="R24" s="12" t="s">
        <v>222</v>
      </c>
      <c r="S24" s="12"/>
      <c r="T24" s="12" t="s">
        <v>36</v>
      </c>
      <c r="U24" s="12" t="s">
        <v>13</v>
      </c>
      <c r="V24" s="25" t="s">
        <v>69</v>
      </c>
      <c r="W24" s="34">
        <v>13</v>
      </c>
      <c r="X24" s="24" t="s">
        <v>281</v>
      </c>
      <c r="Y24" s="110" t="s">
        <v>37</v>
      </c>
      <c r="Z24" s="36"/>
      <c r="AA24" s="36"/>
      <c r="AB24" s="7"/>
      <c r="AC24" s="33"/>
      <c r="AD24" s="33"/>
      <c r="AE24" s="33"/>
      <c r="AF24" s="7"/>
      <c r="AG24" s="33"/>
      <c r="AH24" s="36">
        <v>0</v>
      </c>
      <c r="AI24" s="36">
        <v>10000000</v>
      </c>
      <c r="AJ24" s="33">
        <f>36795436+36128515.73-10000000</f>
        <v>62923951.729999989</v>
      </c>
      <c r="AK24" s="36"/>
      <c r="AL24" s="7"/>
      <c r="AM24" s="36"/>
      <c r="AN24" s="7"/>
      <c r="AO24" s="36"/>
      <c r="AP24" s="36"/>
      <c r="AQ24" s="7"/>
      <c r="AR24" s="7"/>
      <c r="AS24" s="7"/>
      <c r="AT24" s="36"/>
      <c r="AU24" s="36"/>
      <c r="AV24" s="7"/>
      <c r="AW24" s="36"/>
      <c r="AX24" s="36"/>
      <c r="AY24" s="7"/>
      <c r="AZ24" s="36"/>
      <c r="BA24" s="36"/>
      <c r="BB24" s="7"/>
      <c r="BC24" s="36"/>
      <c r="BD24" s="7"/>
      <c r="BE24" s="36"/>
      <c r="BF24" s="7"/>
      <c r="BG24" s="36"/>
      <c r="BH24" s="7"/>
      <c r="BI24" s="36"/>
      <c r="BJ24" s="7"/>
      <c r="BK24" s="36"/>
      <c r="BL24" s="7"/>
      <c r="BM24" s="36"/>
      <c r="BN24" s="7"/>
      <c r="BO24" s="36"/>
      <c r="BP24" s="14"/>
      <c r="BQ24" s="14"/>
      <c r="BR24" s="7"/>
      <c r="BS24" s="7"/>
      <c r="BT24" s="7"/>
      <c r="BU24" s="15"/>
      <c r="BV24" s="15"/>
      <c r="BW24" s="300"/>
      <c r="BX24" s="300"/>
      <c r="BY24" s="33"/>
      <c r="BZ24" s="36"/>
      <c r="CA24" s="317">
        <f>+AF24+AH24+AI24+AJ24</f>
        <v>72923951.729999989</v>
      </c>
    </row>
    <row r="25" spans="1:79" s="1" customFormat="1" ht="17.100000000000001" customHeight="1" thickBot="1">
      <c r="A25" s="12"/>
      <c r="B25" s="24"/>
      <c r="C25" s="24"/>
      <c r="D25" s="24"/>
      <c r="E25" s="3"/>
      <c r="F25" s="9"/>
      <c r="G25" s="10"/>
      <c r="H25" s="3"/>
      <c r="I25" s="3"/>
      <c r="J25" s="3"/>
      <c r="K25" s="3"/>
      <c r="L25" s="3"/>
      <c r="M25" s="11"/>
      <c r="N25" s="11"/>
      <c r="O25" s="11"/>
      <c r="P25" s="3"/>
      <c r="Q25" s="12"/>
      <c r="R25" s="12"/>
      <c r="S25" s="12"/>
      <c r="T25" s="12"/>
      <c r="U25" s="12"/>
      <c r="V25" s="25"/>
      <c r="W25" s="34"/>
      <c r="X25" s="24"/>
      <c r="Y25" s="110"/>
      <c r="Z25" s="36"/>
      <c r="AA25" s="36"/>
      <c r="AB25" s="7"/>
      <c r="AC25" s="33"/>
      <c r="AD25" s="33"/>
      <c r="AE25" s="33"/>
      <c r="AF25" s="7"/>
      <c r="AG25" s="33"/>
      <c r="AH25" s="324">
        <f>SUM(AH23:AH24)</f>
        <v>6815400</v>
      </c>
      <c r="AI25" s="324">
        <f>SUM(AI23:AI24)</f>
        <v>10100000</v>
      </c>
      <c r="AJ25" s="324">
        <f>SUM(AJ23:AJ24)</f>
        <v>63023951.729999989</v>
      </c>
      <c r="AK25" s="36"/>
      <c r="AL25" s="7"/>
      <c r="AM25" s="36"/>
      <c r="AN25" s="7"/>
      <c r="AO25" s="36"/>
      <c r="AP25" s="36"/>
      <c r="AQ25" s="7"/>
      <c r="AR25" s="7"/>
      <c r="AS25" s="7"/>
      <c r="AT25" s="36"/>
      <c r="AU25" s="36"/>
      <c r="AV25" s="7"/>
      <c r="AW25" s="36"/>
      <c r="AX25" s="36"/>
      <c r="AY25" s="7"/>
      <c r="AZ25" s="36"/>
      <c r="BA25" s="36"/>
      <c r="BB25" s="7"/>
      <c r="BC25" s="36"/>
      <c r="BD25" s="7"/>
      <c r="BE25" s="36"/>
      <c r="BF25" s="7"/>
      <c r="BG25" s="36"/>
      <c r="BH25" s="7"/>
      <c r="BI25" s="36"/>
      <c r="BJ25" s="7"/>
      <c r="BK25" s="36"/>
      <c r="BL25" s="7"/>
      <c r="BM25" s="36"/>
      <c r="BN25" s="7"/>
      <c r="BO25" s="36"/>
      <c r="BP25" s="14"/>
      <c r="BQ25" s="14"/>
      <c r="BR25" s="7"/>
      <c r="BS25" s="7"/>
      <c r="BT25" s="7"/>
      <c r="BU25" s="15"/>
      <c r="BV25" s="15"/>
      <c r="BW25" s="300"/>
      <c r="BX25" s="300"/>
      <c r="BY25" s="33"/>
      <c r="BZ25" s="36"/>
      <c r="CA25" s="317"/>
    </row>
    <row r="26" spans="1:79" s="1" customFormat="1" ht="17.100000000000001" customHeight="1">
      <c r="A26" s="12"/>
      <c r="B26" s="24"/>
      <c r="C26" s="24"/>
      <c r="D26" s="24"/>
      <c r="E26" s="3"/>
      <c r="F26" s="9"/>
      <c r="G26" s="10"/>
      <c r="H26" s="3"/>
      <c r="I26" s="3"/>
      <c r="J26" s="3"/>
      <c r="K26" s="3"/>
      <c r="L26" s="3"/>
      <c r="M26" s="11"/>
      <c r="N26" s="11"/>
      <c r="O26" s="11"/>
      <c r="P26" s="3"/>
      <c r="Q26" s="12"/>
      <c r="R26" s="12"/>
      <c r="S26" s="12"/>
      <c r="T26" s="12"/>
      <c r="U26" s="12"/>
      <c r="V26" s="25"/>
      <c r="W26" s="34"/>
      <c r="X26" s="24"/>
      <c r="Y26" s="110"/>
      <c r="Z26" s="36"/>
      <c r="AA26" s="36"/>
      <c r="AB26" s="7"/>
      <c r="AC26" s="33"/>
      <c r="AD26" s="33"/>
      <c r="AE26" s="33"/>
      <c r="AF26" s="7"/>
      <c r="AG26" s="33"/>
      <c r="AH26" s="322"/>
      <c r="AI26" s="322"/>
      <c r="AJ26" s="322"/>
      <c r="AK26" s="36"/>
      <c r="AL26" s="7"/>
      <c r="AM26" s="36"/>
      <c r="AN26" s="7"/>
      <c r="AO26" s="36"/>
      <c r="AP26" s="36"/>
      <c r="AQ26" s="7"/>
      <c r="AR26" s="7"/>
      <c r="AS26" s="7"/>
      <c r="AT26" s="36"/>
      <c r="AU26" s="36"/>
      <c r="AV26" s="7"/>
      <c r="AW26" s="36"/>
      <c r="AX26" s="36"/>
      <c r="AY26" s="7"/>
      <c r="AZ26" s="36"/>
      <c r="BA26" s="36"/>
      <c r="BB26" s="7"/>
      <c r="BC26" s="36"/>
      <c r="BD26" s="7"/>
      <c r="BE26" s="36"/>
      <c r="BF26" s="7"/>
      <c r="BG26" s="36"/>
      <c r="BH26" s="7"/>
      <c r="BI26" s="36"/>
      <c r="BJ26" s="7"/>
      <c r="BK26" s="36"/>
      <c r="BL26" s="7"/>
      <c r="BM26" s="36"/>
      <c r="BN26" s="7"/>
      <c r="BO26" s="36"/>
      <c r="BP26" s="14"/>
      <c r="BQ26" s="14"/>
      <c r="BR26" s="7"/>
      <c r="BS26" s="7"/>
      <c r="BT26" s="7"/>
      <c r="BU26" s="15"/>
      <c r="BV26" s="15"/>
      <c r="BW26" s="300"/>
      <c r="BX26" s="300"/>
      <c r="BY26" s="33"/>
      <c r="BZ26" s="36"/>
      <c r="CA26" s="317"/>
    </row>
    <row r="27" spans="1:79" s="1" customFormat="1" ht="15" customHeight="1">
      <c r="A27" s="12" t="s">
        <v>7</v>
      </c>
      <c r="B27" s="24" t="s">
        <v>62</v>
      </c>
      <c r="C27" s="24" t="s">
        <v>227</v>
      </c>
      <c r="D27" s="24" t="s">
        <v>13</v>
      </c>
      <c r="E27" s="3">
        <v>255005</v>
      </c>
      <c r="F27" s="9"/>
      <c r="G27" s="10"/>
      <c r="H27" s="3"/>
      <c r="I27" s="3"/>
      <c r="J27" s="3"/>
      <c r="K27" s="3"/>
      <c r="L27" s="3"/>
      <c r="M27" s="11"/>
      <c r="N27" s="11"/>
      <c r="O27" s="11"/>
      <c r="P27" s="3"/>
      <c r="Q27" s="12"/>
      <c r="R27" s="12"/>
      <c r="S27" s="12"/>
      <c r="T27" s="12"/>
      <c r="U27" s="12"/>
      <c r="V27" s="25"/>
      <c r="W27" s="34"/>
      <c r="X27" s="24" t="s">
        <v>464</v>
      </c>
      <c r="Y27" s="110" t="s">
        <v>460</v>
      </c>
      <c r="Z27" s="36"/>
      <c r="AA27" s="36"/>
      <c r="AB27" s="7"/>
      <c r="AC27" s="33"/>
      <c r="AD27" s="33"/>
      <c r="AE27" s="33"/>
      <c r="AF27" s="7"/>
      <c r="AG27" s="33"/>
      <c r="AH27" s="36">
        <v>50000</v>
      </c>
      <c r="AI27" s="36">
        <v>200000</v>
      </c>
      <c r="AJ27" s="33">
        <v>36000000</v>
      </c>
      <c r="AK27" s="36"/>
      <c r="AL27" s="7"/>
      <c r="AM27" s="36"/>
      <c r="AN27" s="7"/>
      <c r="AO27" s="36"/>
      <c r="AP27" s="36"/>
      <c r="AQ27" s="7"/>
      <c r="AR27" s="7"/>
      <c r="AS27" s="7"/>
      <c r="AT27" s="36"/>
      <c r="AU27" s="36"/>
      <c r="AV27" s="7"/>
      <c r="AW27" s="36"/>
      <c r="AX27" s="36"/>
      <c r="AY27" s="7"/>
      <c r="AZ27" s="36"/>
      <c r="BA27" s="36"/>
      <c r="BB27" s="7"/>
      <c r="BC27" s="36"/>
      <c r="BD27" s="7"/>
      <c r="BE27" s="36"/>
      <c r="BF27" s="7"/>
      <c r="BG27" s="36"/>
      <c r="BH27" s="7"/>
      <c r="BI27" s="36"/>
      <c r="BJ27" s="7"/>
      <c r="BK27" s="36"/>
      <c r="BL27" s="7"/>
      <c r="BM27" s="36"/>
      <c r="BN27" s="7"/>
      <c r="BO27" s="36"/>
      <c r="BP27" s="14"/>
      <c r="BQ27" s="14"/>
      <c r="BR27" s="7"/>
      <c r="BS27" s="7"/>
      <c r="BT27" s="7"/>
      <c r="BU27" s="15"/>
      <c r="BV27" s="15"/>
      <c r="BW27" s="300"/>
      <c r="BX27" s="300"/>
      <c r="BY27" s="33"/>
      <c r="BZ27" s="36"/>
      <c r="CA27" s="317"/>
    </row>
    <row r="28" spans="1:79" s="1" customFormat="1" ht="15" customHeight="1">
      <c r="A28" s="12" t="s">
        <v>7</v>
      </c>
      <c r="B28" s="24" t="s">
        <v>62</v>
      </c>
      <c r="C28" s="24" t="s">
        <v>227</v>
      </c>
      <c r="D28" s="24" t="s">
        <v>13</v>
      </c>
      <c r="E28" s="3">
        <v>255005</v>
      </c>
      <c r="F28" s="9" t="s">
        <v>13</v>
      </c>
      <c r="G28" s="10" t="s">
        <v>13</v>
      </c>
      <c r="H28" s="3">
        <v>4</v>
      </c>
      <c r="I28" s="3">
        <v>36</v>
      </c>
      <c r="J28" s="3">
        <v>1409</v>
      </c>
      <c r="K28" s="3" t="s">
        <v>186</v>
      </c>
      <c r="L28" s="3" t="s">
        <v>189</v>
      </c>
      <c r="M28" s="11" t="s">
        <v>187</v>
      </c>
      <c r="N28" s="11" t="s">
        <v>187</v>
      </c>
      <c r="O28" s="11" t="s">
        <v>193</v>
      </c>
      <c r="P28" s="3" t="s">
        <v>188</v>
      </c>
      <c r="Q28" s="12" t="s">
        <v>110</v>
      </c>
      <c r="R28" s="12" t="s">
        <v>222</v>
      </c>
      <c r="S28" s="12"/>
      <c r="T28" s="12" t="s">
        <v>36</v>
      </c>
      <c r="U28" s="12" t="s">
        <v>13</v>
      </c>
      <c r="V28" s="25" t="s">
        <v>69</v>
      </c>
      <c r="W28" s="111">
        <v>24</v>
      </c>
      <c r="X28" s="24" t="s">
        <v>155</v>
      </c>
      <c r="Y28" s="110" t="s">
        <v>37</v>
      </c>
      <c r="Z28" s="33">
        <v>200000</v>
      </c>
      <c r="AA28" s="33"/>
      <c r="AB28" s="7">
        <f>Z28+AA28</f>
        <v>200000</v>
      </c>
      <c r="AC28" s="33">
        <v>300000</v>
      </c>
      <c r="AD28" s="33">
        <f>AB28+AC28</f>
        <v>500000</v>
      </c>
      <c r="AE28" s="33"/>
      <c r="AF28" s="7">
        <f>+AD28+AE28</f>
        <v>500000</v>
      </c>
      <c r="AG28" s="33"/>
      <c r="AH28" s="33">
        <v>500000</v>
      </c>
      <c r="AI28" s="33">
        <v>1600000</v>
      </c>
      <c r="AJ28" s="33">
        <v>1600000</v>
      </c>
      <c r="AK28" s="33"/>
      <c r="AL28" s="7">
        <f>AK28</f>
        <v>0</v>
      </c>
      <c r="AM28" s="33"/>
      <c r="AN28" s="7">
        <f>AM28</f>
        <v>0</v>
      </c>
      <c r="AO28" s="33"/>
      <c r="AP28" s="33">
        <v>0</v>
      </c>
      <c r="AQ28" s="7">
        <f>AO28+AP28</f>
        <v>0</v>
      </c>
      <c r="AR28" s="7">
        <f>AK28+AM28+AO28</f>
        <v>0</v>
      </c>
      <c r="AS28" s="7">
        <f>AL28+AN28+AQ28</f>
        <v>0</v>
      </c>
      <c r="AT28" s="33"/>
      <c r="AU28" s="33"/>
      <c r="AV28" s="7">
        <f>AT28+AU28</f>
        <v>0</v>
      </c>
      <c r="AW28" s="33"/>
      <c r="AX28" s="33"/>
      <c r="AY28" s="7">
        <f>AW28+AX28</f>
        <v>0</v>
      </c>
      <c r="AZ28" s="33"/>
      <c r="BA28" s="33"/>
      <c r="BB28" s="7">
        <f>AZ28+BA28</f>
        <v>0</v>
      </c>
      <c r="BC28" s="33"/>
      <c r="BD28" s="7">
        <f>BC28</f>
        <v>0</v>
      </c>
      <c r="BE28" s="33"/>
      <c r="BF28" s="7">
        <f>BE28</f>
        <v>0</v>
      </c>
      <c r="BG28" s="33"/>
      <c r="BH28" s="7">
        <f>BG28</f>
        <v>0</v>
      </c>
      <c r="BI28" s="33"/>
      <c r="BJ28" s="7">
        <f>BI28</f>
        <v>0</v>
      </c>
      <c r="BK28" s="33"/>
      <c r="BL28" s="7">
        <f>BK28</f>
        <v>0</v>
      </c>
      <c r="BM28" s="33"/>
      <c r="BN28" s="7">
        <f>BM28</f>
        <v>0</v>
      </c>
      <c r="BO28" s="33">
        <v>175438.6</v>
      </c>
      <c r="BP28" s="14">
        <f>AK28+AM28+AO28+AT28+AW28+AZ28+BC28+BE28+BG28+BI28+BK28+BM28</f>
        <v>0</v>
      </c>
      <c r="BQ28" s="14">
        <f>AL28+AN28+AQ28+AV28+AY28+BB28</f>
        <v>0</v>
      </c>
      <c r="BR28" s="7"/>
      <c r="BS28" s="7">
        <f>AD28-BP28</f>
        <v>500000</v>
      </c>
      <c r="BT28" s="7">
        <f>AD28-BQ28</f>
        <v>500000</v>
      </c>
      <c r="BU28" s="15">
        <f>BP28/AD28</f>
        <v>0</v>
      </c>
      <c r="BV28" s="15">
        <f>BQ28/AD28</f>
        <v>0</v>
      </c>
      <c r="BW28" s="33">
        <v>10000000</v>
      </c>
      <c r="BX28" s="33"/>
      <c r="BY28" s="33"/>
      <c r="BZ28" s="36"/>
    </row>
    <row r="29" spans="1:79" s="1" customFormat="1" ht="15" customHeight="1">
      <c r="A29" s="12" t="s">
        <v>7</v>
      </c>
      <c r="B29" s="24" t="s">
        <v>62</v>
      </c>
      <c r="C29" s="24" t="s">
        <v>227</v>
      </c>
      <c r="D29" s="24" t="s">
        <v>13</v>
      </c>
      <c r="E29" s="3">
        <v>255005</v>
      </c>
      <c r="F29" s="9" t="s">
        <v>13</v>
      </c>
      <c r="G29" s="10" t="s">
        <v>13</v>
      </c>
      <c r="H29" s="3">
        <v>4</v>
      </c>
      <c r="I29" s="3">
        <v>36</v>
      </c>
      <c r="J29" s="3">
        <v>1410</v>
      </c>
      <c r="K29" s="3" t="s">
        <v>186</v>
      </c>
      <c r="L29" s="3" t="s">
        <v>189</v>
      </c>
      <c r="M29" s="11" t="s">
        <v>187</v>
      </c>
      <c r="N29" s="11" t="s">
        <v>187</v>
      </c>
      <c r="O29" s="11" t="s">
        <v>193</v>
      </c>
      <c r="P29" s="3" t="s">
        <v>188</v>
      </c>
      <c r="Q29" s="12" t="s">
        <v>110</v>
      </c>
      <c r="R29" s="12" t="s">
        <v>222</v>
      </c>
      <c r="S29" s="12"/>
      <c r="T29" s="12" t="s">
        <v>36</v>
      </c>
      <c r="U29" s="12" t="s">
        <v>13</v>
      </c>
      <c r="V29" s="25" t="s">
        <v>69</v>
      </c>
      <c r="W29" s="111">
        <v>24</v>
      </c>
      <c r="X29" s="24" t="s">
        <v>156</v>
      </c>
      <c r="Y29" s="110" t="s">
        <v>37</v>
      </c>
      <c r="Z29" s="33">
        <v>200000</v>
      </c>
      <c r="AA29" s="33"/>
      <c r="AB29" s="7">
        <f>Z29+AA29</f>
        <v>200000</v>
      </c>
      <c r="AC29" s="33">
        <v>300000</v>
      </c>
      <c r="AD29" s="33">
        <f>AB29+AC29</f>
        <v>500000</v>
      </c>
      <c r="AE29" s="33"/>
      <c r="AF29" s="7">
        <f>+AD29+AE29</f>
        <v>500000</v>
      </c>
      <c r="AG29" s="33"/>
      <c r="AH29" s="33">
        <v>500000</v>
      </c>
      <c r="AI29" s="33">
        <v>2000000</v>
      </c>
      <c r="AJ29" s="33">
        <v>2000000</v>
      </c>
      <c r="AK29" s="33"/>
      <c r="AL29" s="7">
        <f>AK29</f>
        <v>0</v>
      </c>
      <c r="AM29" s="33"/>
      <c r="AN29" s="7">
        <f>AM29</f>
        <v>0</v>
      </c>
      <c r="AO29" s="33"/>
      <c r="AP29" s="33">
        <v>0</v>
      </c>
      <c r="AQ29" s="7">
        <f>AO29+AP29</f>
        <v>0</v>
      </c>
      <c r="AR29" s="7">
        <f>AK29+AM29+AO29</f>
        <v>0</v>
      </c>
      <c r="AS29" s="7">
        <f>AL29+AN29+AQ29</f>
        <v>0</v>
      </c>
      <c r="AT29" s="33"/>
      <c r="AU29" s="33"/>
      <c r="AV29" s="7">
        <f>AT29+AU29</f>
        <v>0</v>
      </c>
      <c r="AW29" s="33"/>
      <c r="AX29" s="33"/>
      <c r="AY29" s="7">
        <f>AW29+AX29</f>
        <v>0</v>
      </c>
      <c r="AZ29" s="33"/>
      <c r="BA29" s="33"/>
      <c r="BB29" s="7">
        <f>AZ29+BA29</f>
        <v>0</v>
      </c>
      <c r="BC29" s="33"/>
      <c r="BD29" s="7">
        <f>BC29</f>
        <v>0</v>
      </c>
      <c r="BE29" s="33"/>
      <c r="BF29" s="7">
        <f>BE29</f>
        <v>0</v>
      </c>
      <c r="BG29" s="33"/>
      <c r="BH29" s="7">
        <f>BG29</f>
        <v>0</v>
      </c>
      <c r="BI29" s="33"/>
      <c r="BJ29" s="7">
        <f>BI29</f>
        <v>0</v>
      </c>
      <c r="BK29" s="33"/>
      <c r="BL29" s="7">
        <f>BK29</f>
        <v>0</v>
      </c>
      <c r="BM29" s="33"/>
      <c r="BN29" s="7">
        <f>BM29</f>
        <v>0</v>
      </c>
      <c r="BO29" s="33"/>
      <c r="BP29" s="14">
        <f>AK29+AM29+AO29+AT29+AW29+AZ29+BC29+BE29+BG29+BI29+BK29+BM29</f>
        <v>0</v>
      </c>
      <c r="BQ29" s="14">
        <f>AL29+AN29+AQ29+AV29+AY29+BB29</f>
        <v>0</v>
      </c>
      <c r="BR29" s="7"/>
      <c r="BS29" s="7">
        <f>AD29-BP29</f>
        <v>500000</v>
      </c>
      <c r="BT29" s="7">
        <f>AD29-BQ29</f>
        <v>500000</v>
      </c>
      <c r="BU29" s="15">
        <f>BP29/AD29</f>
        <v>0</v>
      </c>
      <c r="BV29" s="15">
        <f>BQ29/AD29</f>
        <v>0</v>
      </c>
      <c r="BW29" s="33">
        <v>10000000</v>
      </c>
      <c r="BX29" s="33"/>
      <c r="BY29" s="33"/>
      <c r="BZ29" s="36"/>
    </row>
    <row r="30" spans="1:79" s="1" customFormat="1" ht="15" customHeight="1">
      <c r="A30" s="12" t="s">
        <v>7</v>
      </c>
      <c r="B30" s="24" t="s">
        <v>62</v>
      </c>
      <c r="C30" s="24" t="s">
        <v>227</v>
      </c>
      <c r="D30" s="24" t="s">
        <v>13</v>
      </c>
      <c r="E30" s="3">
        <v>255005</v>
      </c>
      <c r="F30" s="9" t="s">
        <v>13</v>
      </c>
      <c r="G30" s="10" t="s">
        <v>13</v>
      </c>
      <c r="H30" s="3">
        <v>4</v>
      </c>
      <c r="I30" s="3">
        <v>36</v>
      </c>
      <c r="J30" s="3">
        <v>1411</v>
      </c>
      <c r="K30" s="3" t="s">
        <v>186</v>
      </c>
      <c r="L30" s="3" t="s">
        <v>189</v>
      </c>
      <c r="M30" s="11" t="s">
        <v>187</v>
      </c>
      <c r="N30" s="11" t="s">
        <v>187</v>
      </c>
      <c r="O30" s="11" t="s">
        <v>193</v>
      </c>
      <c r="P30" s="3" t="s">
        <v>188</v>
      </c>
      <c r="Q30" s="12" t="s">
        <v>110</v>
      </c>
      <c r="R30" s="12" t="s">
        <v>222</v>
      </c>
      <c r="S30" s="12"/>
      <c r="T30" s="12" t="s">
        <v>36</v>
      </c>
      <c r="U30" s="12" t="s">
        <v>13</v>
      </c>
      <c r="V30" s="25" t="s">
        <v>69</v>
      </c>
      <c r="W30" s="111">
        <v>23</v>
      </c>
      <c r="X30" s="24" t="s">
        <v>157</v>
      </c>
      <c r="Y30" s="110" t="s">
        <v>37</v>
      </c>
      <c r="Z30" s="33">
        <v>200000</v>
      </c>
      <c r="AA30" s="33"/>
      <c r="AB30" s="7">
        <f>Z30+AA30</f>
        <v>200000</v>
      </c>
      <c r="AC30" s="33">
        <v>300000</v>
      </c>
      <c r="AD30" s="33">
        <f>AB30+AC30</f>
        <v>500000</v>
      </c>
      <c r="AE30" s="33"/>
      <c r="AF30" s="7">
        <f>+AD30+AE30</f>
        <v>500000</v>
      </c>
      <c r="AG30" s="33"/>
      <c r="AH30" s="33">
        <v>500000</v>
      </c>
      <c r="AI30" s="33">
        <v>2000000</v>
      </c>
      <c r="AJ30" s="33">
        <v>2000000</v>
      </c>
      <c r="AK30" s="33"/>
      <c r="AL30" s="7">
        <f>AK30</f>
        <v>0</v>
      </c>
      <c r="AM30" s="33"/>
      <c r="AN30" s="7">
        <f>AM30</f>
        <v>0</v>
      </c>
      <c r="AO30" s="33"/>
      <c r="AP30" s="33">
        <v>0</v>
      </c>
      <c r="AQ30" s="7">
        <f>AO30+AP30</f>
        <v>0</v>
      </c>
      <c r="AR30" s="7">
        <f>AK30+AM30+AO30</f>
        <v>0</v>
      </c>
      <c r="AS30" s="7">
        <f>AL30+AN30+AQ30</f>
        <v>0</v>
      </c>
      <c r="AT30" s="33"/>
      <c r="AU30" s="33"/>
      <c r="AV30" s="7">
        <f>AT30+AU30</f>
        <v>0</v>
      </c>
      <c r="AW30" s="33"/>
      <c r="AX30" s="33"/>
      <c r="AY30" s="7">
        <f>AW30+AX30</f>
        <v>0</v>
      </c>
      <c r="AZ30" s="33"/>
      <c r="BA30" s="33"/>
      <c r="BB30" s="7">
        <f>AZ30+BA30</f>
        <v>0</v>
      </c>
      <c r="BC30" s="33"/>
      <c r="BD30" s="7">
        <f>BC30</f>
        <v>0</v>
      </c>
      <c r="BE30" s="33"/>
      <c r="BF30" s="7">
        <f>BE30</f>
        <v>0</v>
      </c>
      <c r="BG30" s="33"/>
      <c r="BH30" s="7">
        <f>BG30</f>
        <v>0</v>
      </c>
      <c r="BI30" s="33"/>
      <c r="BJ30" s="7">
        <f>BI30</f>
        <v>0</v>
      </c>
      <c r="BK30" s="33"/>
      <c r="BL30" s="7">
        <f>BK30</f>
        <v>0</v>
      </c>
      <c r="BM30" s="33"/>
      <c r="BN30" s="7">
        <f>BM30</f>
        <v>0</v>
      </c>
      <c r="BO30" s="33"/>
      <c r="BP30" s="14">
        <f>AK30+AM30+AO30+AT30+AW30+AZ30+BC30+BE30+BG30+BI30+BK30+BM30</f>
        <v>0</v>
      </c>
      <c r="BQ30" s="14">
        <f>AL30+AN30+AQ30+AV30+AY30+BB30</f>
        <v>0</v>
      </c>
      <c r="BR30" s="7"/>
      <c r="BS30" s="7">
        <f>AD30-BP30</f>
        <v>500000</v>
      </c>
      <c r="BT30" s="7">
        <f>AD30-BQ30</f>
        <v>500000</v>
      </c>
      <c r="BU30" s="15">
        <f>BP30/AD30</f>
        <v>0</v>
      </c>
      <c r="BV30" s="15">
        <f>BQ30/AD30</f>
        <v>0</v>
      </c>
      <c r="BW30" s="33">
        <v>10000000</v>
      </c>
      <c r="BX30" s="33"/>
      <c r="BY30" s="33"/>
      <c r="BZ30" s="36"/>
    </row>
    <row r="31" spans="1:79" s="1" customFormat="1" ht="15" customHeight="1">
      <c r="A31" s="12" t="s">
        <v>7</v>
      </c>
      <c r="B31" s="24" t="s">
        <v>62</v>
      </c>
      <c r="C31" s="24" t="s">
        <v>227</v>
      </c>
      <c r="D31" s="24" t="s">
        <v>13</v>
      </c>
      <c r="E31" s="3">
        <v>255005</v>
      </c>
      <c r="F31" s="9" t="s">
        <v>13</v>
      </c>
      <c r="G31" s="10" t="s">
        <v>13</v>
      </c>
      <c r="H31" s="3">
        <v>4</v>
      </c>
      <c r="I31" s="3">
        <v>36</v>
      </c>
      <c r="J31" s="3">
        <v>1412</v>
      </c>
      <c r="K31" s="3" t="s">
        <v>186</v>
      </c>
      <c r="L31" s="3" t="s">
        <v>189</v>
      </c>
      <c r="M31" s="11" t="s">
        <v>187</v>
      </c>
      <c r="N31" s="11" t="s">
        <v>187</v>
      </c>
      <c r="O31" s="11" t="s">
        <v>193</v>
      </c>
      <c r="P31" s="3" t="s">
        <v>188</v>
      </c>
      <c r="Q31" s="12" t="s">
        <v>110</v>
      </c>
      <c r="R31" s="12" t="s">
        <v>222</v>
      </c>
      <c r="S31" s="12"/>
      <c r="T31" s="12" t="s">
        <v>36</v>
      </c>
      <c r="U31" s="12" t="s">
        <v>13</v>
      </c>
      <c r="V31" s="25" t="s">
        <v>69</v>
      </c>
      <c r="W31" s="111">
        <v>24</v>
      </c>
      <c r="X31" s="24" t="s">
        <v>158</v>
      </c>
      <c r="Y31" s="110" t="s">
        <v>37</v>
      </c>
      <c r="Z31" s="33">
        <v>200000</v>
      </c>
      <c r="AA31" s="33"/>
      <c r="AB31" s="7">
        <f>Z31+AA31</f>
        <v>200000</v>
      </c>
      <c r="AC31" s="33">
        <v>300000</v>
      </c>
      <c r="AD31" s="33">
        <f>AB31+AC31</f>
        <v>500000</v>
      </c>
      <c r="AE31" s="33"/>
      <c r="AF31" s="7">
        <f>+AD31+AE31</f>
        <v>500000</v>
      </c>
      <c r="AG31" s="33"/>
      <c r="AH31" s="33">
        <v>500000</v>
      </c>
      <c r="AI31" s="33">
        <v>2300000</v>
      </c>
      <c r="AJ31" s="33">
        <v>2300000</v>
      </c>
      <c r="AK31" s="33"/>
      <c r="AL31" s="7">
        <f>AK31</f>
        <v>0</v>
      </c>
      <c r="AM31" s="33"/>
      <c r="AN31" s="7">
        <f>AM31</f>
        <v>0</v>
      </c>
      <c r="AO31" s="33"/>
      <c r="AP31" s="33">
        <v>0</v>
      </c>
      <c r="AQ31" s="7">
        <f>AO31+AP31</f>
        <v>0</v>
      </c>
      <c r="AR31" s="7">
        <f>AK31+AM31+AO31</f>
        <v>0</v>
      </c>
      <c r="AS31" s="7">
        <f>AL31+AN31+AQ31</f>
        <v>0</v>
      </c>
      <c r="AT31" s="33"/>
      <c r="AU31" s="33"/>
      <c r="AV31" s="7">
        <f>AT31+AU31</f>
        <v>0</v>
      </c>
      <c r="AW31" s="33"/>
      <c r="AX31" s="33"/>
      <c r="AY31" s="7">
        <f>AW31+AX31</f>
        <v>0</v>
      </c>
      <c r="AZ31" s="33"/>
      <c r="BA31" s="33"/>
      <c r="BB31" s="7">
        <f>AZ31+BA31</f>
        <v>0</v>
      </c>
      <c r="BC31" s="33"/>
      <c r="BD31" s="7">
        <f>BC31</f>
        <v>0</v>
      </c>
      <c r="BE31" s="33"/>
      <c r="BF31" s="7">
        <f>BE31</f>
        <v>0</v>
      </c>
      <c r="BG31" s="33"/>
      <c r="BH31" s="7">
        <f>BG31</f>
        <v>0</v>
      </c>
      <c r="BI31" s="33"/>
      <c r="BJ31" s="7">
        <f>BI31</f>
        <v>0</v>
      </c>
      <c r="BK31" s="33"/>
      <c r="BL31" s="7">
        <f>BK31</f>
        <v>0</v>
      </c>
      <c r="BM31" s="33"/>
      <c r="BN31" s="7">
        <f>BM31</f>
        <v>0</v>
      </c>
      <c r="BO31" s="33"/>
      <c r="BP31" s="14">
        <f>AK31+AM31+AO31+AT31+AW31+AZ31+BC31+BE31+BG31+BI31+BK31+BM31</f>
        <v>0</v>
      </c>
      <c r="BQ31" s="14">
        <f>AL31+AN31+AQ31+AV31+AY31+BB31</f>
        <v>0</v>
      </c>
      <c r="BR31" s="7"/>
      <c r="BS31" s="7">
        <f>AD31-BP31</f>
        <v>500000</v>
      </c>
      <c r="BT31" s="7">
        <f>AD31-BQ31</f>
        <v>500000</v>
      </c>
      <c r="BU31" s="15">
        <f>BP31/AD31</f>
        <v>0</v>
      </c>
      <c r="BV31" s="15">
        <f>BQ31/AD31</f>
        <v>0</v>
      </c>
      <c r="BW31" s="33">
        <v>10000000</v>
      </c>
      <c r="BX31" s="33"/>
      <c r="BY31" s="33"/>
      <c r="BZ31" s="36"/>
    </row>
    <row r="32" spans="1:79" s="1" customFormat="1" ht="15" customHeight="1">
      <c r="A32" s="12" t="s">
        <v>7</v>
      </c>
      <c r="B32" s="24" t="s">
        <v>62</v>
      </c>
      <c r="C32" s="24" t="s">
        <v>227</v>
      </c>
      <c r="D32" s="24" t="s">
        <v>13</v>
      </c>
      <c r="E32" s="3">
        <v>255005</v>
      </c>
      <c r="F32" s="9"/>
      <c r="G32" s="10"/>
      <c r="H32" s="3"/>
      <c r="I32" s="3"/>
      <c r="J32" s="3"/>
      <c r="K32" s="11"/>
      <c r="L32" s="11"/>
      <c r="M32" s="11"/>
      <c r="N32" s="11"/>
      <c r="O32" s="11"/>
      <c r="P32" s="11"/>
      <c r="Q32" s="12"/>
      <c r="R32" s="12"/>
      <c r="S32" s="12"/>
      <c r="T32" s="12"/>
      <c r="U32" s="12"/>
      <c r="V32" s="13"/>
      <c r="W32" s="34"/>
      <c r="X32" s="24" t="s">
        <v>475</v>
      </c>
      <c r="Y32" s="110" t="s">
        <v>460</v>
      </c>
      <c r="Z32" s="33"/>
      <c r="AA32" s="33"/>
      <c r="AB32" s="7"/>
      <c r="AC32" s="33"/>
      <c r="AD32" s="33"/>
      <c r="AE32" s="33"/>
      <c r="AF32" s="7"/>
      <c r="AG32" s="33"/>
      <c r="AH32" s="33">
        <v>500000</v>
      </c>
      <c r="AI32" s="33">
        <v>500000</v>
      </c>
      <c r="AJ32" s="33">
        <v>10000000</v>
      </c>
      <c r="AK32" s="33"/>
      <c r="AL32" s="7"/>
      <c r="AM32" s="33"/>
      <c r="AN32" s="7"/>
      <c r="AO32" s="33"/>
      <c r="AP32" s="33"/>
      <c r="AQ32" s="7"/>
      <c r="AR32" s="7"/>
      <c r="AS32" s="7"/>
      <c r="AT32" s="33"/>
      <c r="AU32" s="33"/>
      <c r="AV32" s="7"/>
      <c r="AW32" s="33"/>
      <c r="AX32" s="33"/>
      <c r="AY32" s="7"/>
      <c r="AZ32" s="33"/>
      <c r="BA32" s="33"/>
      <c r="BB32" s="7"/>
      <c r="BC32" s="33"/>
      <c r="BD32" s="7"/>
      <c r="BE32" s="33"/>
      <c r="BF32" s="7"/>
      <c r="BG32" s="33"/>
      <c r="BH32" s="7"/>
      <c r="BI32" s="33"/>
      <c r="BJ32" s="7"/>
      <c r="BK32" s="33"/>
      <c r="BL32" s="7"/>
      <c r="BM32" s="33"/>
      <c r="BN32" s="7"/>
      <c r="BO32" s="33"/>
      <c r="BP32" s="14"/>
      <c r="BQ32" s="14"/>
      <c r="BR32" s="7"/>
      <c r="BS32" s="7"/>
      <c r="BT32" s="7"/>
      <c r="BU32" s="15"/>
      <c r="BV32" s="15"/>
      <c r="BW32" s="300"/>
      <c r="BX32" s="300"/>
      <c r="BY32" s="33"/>
      <c r="BZ32" s="36"/>
    </row>
    <row r="33" spans="1:78" s="1" customFormat="1" ht="15" customHeight="1">
      <c r="A33" s="12" t="s">
        <v>7</v>
      </c>
      <c r="B33" s="24" t="s">
        <v>62</v>
      </c>
      <c r="C33" s="24" t="s">
        <v>227</v>
      </c>
      <c r="D33" s="24" t="s">
        <v>13</v>
      </c>
      <c r="E33" s="3">
        <v>255005</v>
      </c>
      <c r="F33" s="9"/>
      <c r="G33" s="10"/>
      <c r="H33" s="3"/>
      <c r="I33" s="3"/>
      <c r="J33" s="3"/>
      <c r="K33" s="11"/>
      <c r="L33" s="11"/>
      <c r="M33" s="11"/>
      <c r="N33" s="11"/>
      <c r="O33" s="11"/>
      <c r="P33" s="11"/>
      <c r="Q33" s="12"/>
      <c r="R33" s="12"/>
      <c r="S33" s="12"/>
      <c r="T33" s="12"/>
      <c r="U33" s="12"/>
      <c r="V33" s="13"/>
      <c r="W33" s="34"/>
      <c r="X33" s="24" t="s">
        <v>476</v>
      </c>
      <c r="Y33" s="110" t="s">
        <v>460</v>
      </c>
      <c r="Z33" s="33"/>
      <c r="AA33" s="33"/>
      <c r="AB33" s="7"/>
      <c r="AC33" s="33"/>
      <c r="AD33" s="33"/>
      <c r="AE33" s="33"/>
      <c r="AF33" s="7"/>
      <c r="AG33" s="33"/>
      <c r="AH33" s="33">
        <v>500000</v>
      </c>
      <c r="AI33" s="33">
        <v>500000</v>
      </c>
      <c r="AJ33" s="33">
        <v>10000000</v>
      </c>
      <c r="AK33" s="33"/>
      <c r="AL33" s="7"/>
      <c r="AM33" s="33"/>
      <c r="AN33" s="7"/>
      <c r="AO33" s="33"/>
      <c r="AP33" s="33"/>
      <c r="AQ33" s="7"/>
      <c r="AR33" s="7"/>
      <c r="AS33" s="7"/>
      <c r="AT33" s="33"/>
      <c r="AU33" s="33"/>
      <c r="AV33" s="7"/>
      <c r="AW33" s="33"/>
      <c r="AX33" s="33"/>
      <c r="AY33" s="7"/>
      <c r="AZ33" s="33"/>
      <c r="BA33" s="33"/>
      <c r="BB33" s="7"/>
      <c r="BC33" s="33"/>
      <c r="BD33" s="7"/>
      <c r="BE33" s="33"/>
      <c r="BF33" s="7"/>
      <c r="BG33" s="33"/>
      <c r="BH33" s="7"/>
      <c r="BI33" s="33"/>
      <c r="BJ33" s="7"/>
      <c r="BK33" s="33"/>
      <c r="BL33" s="7"/>
      <c r="BM33" s="33"/>
      <c r="BN33" s="7"/>
      <c r="BO33" s="33"/>
      <c r="BP33" s="14"/>
      <c r="BQ33" s="14"/>
      <c r="BR33" s="7"/>
      <c r="BS33" s="7"/>
      <c r="BT33" s="7"/>
      <c r="BU33" s="15"/>
      <c r="BV33" s="15"/>
      <c r="BW33" s="300"/>
      <c r="BX33" s="300"/>
      <c r="BY33" s="33"/>
      <c r="BZ33" s="36"/>
    </row>
    <row r="34" spans="1:78" s="1" customFormat="1" ht="15" customHeight="1">
      <c r="A34" s="12" t="s">
        <v>7</v>
      </c>
      <c r="B34" s="24" t="s">
        <v>62</v>
      </c>
      <c r="C34" s="24" t="s">
        <v>227</v>
      </c>
      <c r="D34" s="24" t="s">
        <v>13</v>
      </c>
      <c r="E34" s="3">
        <v>255005</v>
      </c>
      <c r="F34" s="9"/>
      <c r="G34" s="10"/>
      <c r="H34" s="3"/>
      <c r="I34" s="3"/>
      <c r="J34" s="3"/>
      <c r="K34" s="11"/>
      <c r="L34" s="11"/>
      <c r="M34" s="11"/>
      <c r="N34" s="11"/>
      <c r="O34" s="11"/>
      <c r="P34" s="11"/>
      <c r="Q34" s="12"/>
      <c r="R34" s="12"/>
      <c r="S34" s="12"/>
      <c r="T34" s="12"/>
      <c r="U34" s="12"/>
      <c r="V34" s="13"/>
      <c r="W34" s="34"/>
      <c r="X34" s="24" t="s">
        <v>477</v>
      </c>
      <c r="Y34" s="110" t="s">
        <v>460</v>
      </c>
      <c r="Z34" s="33"/>
      <c r="AA34" s="33"/>
      <c r="AB34" s="7"/>
      <c r="AC34" s="33"/>
      <c r="AD34" s="33"/>
      <c r="AE34" s="33"/>
      <c r="AF34" s="7"/>
      <c r="AG34" s="33"/>
      <c r="AH34" s="33">
        <v>500000</v>
      </c>
      <c r="AI34" s="33">
        <v>500000</v>
      </c>
      <c r="AJ34" s="33">
        <v>10000000</v>
      </c>
      <c r="AK34" s="33"/>
      <c r="AL34" s="7"/>
      <c r="AM34" s="33"/>
      <c r="AN34" s="7"/>
      <c r="AO34" s="33"/>
      <c r="AP34" s="33"/>
      <c r="AQ34" s="7"/>
      <c r="AR34" s="7"/>
      <c r="AS34" s="7"/>
      <c r="AT34" s="33"/>
      <c r="AU34" s="33"/>
      <c r="AV34" s="7"/>
      <c r="AW34" s="33"/>
      <c r="AX34" s="33"/>
      <c r="AY34" s="7"/>
      <c r="AZ34" s="33"/>
      <c r="BA34" s="33"/>
      <c r="BB34" s="7"/>
      <c r="BC34" s="33"/>
      <c r="BD34" s="7"/>
      <c r="BE34" s="33"/>
      <c r="BF34" s="7"/>
      <c r="BG34" s="33"/>
      <c r="BH34" s="7"/>
      <c r="BI34" s="33"/>
      <c r="BJ34" s="7"/>
      <c r="BK34" s="33"/>
      <c r="BL34" s="7"/>
      <c r="BM34" s="33"/>
      <c r="BN34" s="7"/>
      <c r="BO34" s="33"/>
      <c r="BP34" s="14"/>
      <c r="BQ34" s="14"/>
      <c r="BR34" s="7"/>
      <c r="BS34" s="7"/>
      <c r="BT34" s="7"/>
      <c r="BU34" s="15"/>
      <c r="BV34" s="15"/>
      <c r="BW34" s="300"/>
      <c r="BX34" s="300"/>
      <c r="BY34" s="33"/>
      <c r="BZ34" s="36"/>
    </row>
    <row r="35" spans="1:78" s="1" customFormat="1" ht="17.100000000000001" customHeight="1" thickBot="1">
      <c r="A35" s="12"/>
      <c r="B35" s="24"/>
      <c r="C35" s="24"/>
      <c r="D35" s="24"/>
      <c r="E35" s="3"/>
      <c r="F35" s="9"/>
      <c r="G35" s="10"/>
      <c r="H35" s="3"/>
      <c r="I35" s="3"/>
      <c r="J35" s="3"/>
      <c r="K35" s="11"/>
      <c r="L35" s="11"/>
      <c r="M35" s="11"/>
      <c r="N35" s="11"/>
      <c r="O35" s="11"/>
      <c r="P35" s="11"/>
      <c r="Q35" s="12"/>
      <c r="R35" s="12"/>
      <c r="S35" s="12"/>
      <c r="T35" s="12"/>
      <c r="U35" s="12"/>
      <c r="V35" s="13"/>
      <c r="W35" s="34"/>
      <c r="X35" s="24"/>
      <c r="Y35" s="110"/>
      <c r="Z35" s="33"/>
      <c r="AA35" s="33"/>
      <c r="AB35" s="7"/>
      <c r="AC35" s="33"/>
      <c r="AD35" s="33"/>
      <c r="AE35" s="33"/>
      <c r="AF35" s="7"/>
      <c r="AG35" s="33"/>
      <c r="AH35" s="325">
        <f>SUM(AH27:AH34)</f>
        <v>3550000</v>
      </c>
      <c r="AI35" s="325">
        <f>SUM(AI27:AI34)</f>
        <v>9600000</v>
      </c>
      <c r="AJ35" s="325">
        <f>SUM(AJ27:AJ34)</f>
        <v>73900000</v>
      </c>
      <c r="AK35" s="33"/>
      <c r="AL35" s="7"/>
      <c r="AM35" s="33"/>
      <c r="AN35" s="7"/>
      <c r="AO35" s="33"/>
      <c r="AP35" s="33"/>
      <c r="AQ35" s="7"/>
      <c r="AR35" s="7"/>
      <c r="AS35" s="7"/>
      <c r="AT35" s="33"/>
      <c r="AU35" s="33"/>
      <c r="AV35" s="7"/>
      <c r="AW35" s="33"/>
      <c r="AX35" s="33"/>
      <c r="AY35" s="7"/>
      <c r="AZ35" s="33"/>
      <c r="BA35" s="33"/>
      <c r="BB35" s="7"/>
      <c r="BC35" s="33"/>
      <c r="BD35" s="7"/>
      <c r="BE35" s="33"/>
      <c r="BF35" s="7"/>
      <c r="BG35" s="33"/>
      <c r="BH35" s="7"/>
      <c r="BI35" s="33"/>
      <c r="BJ35" s="7"/>
      <c r="BK35" s="33"/>
      <c r="BL35" s="7"/>
      <c r="BM35" s="33"/>
      <c r="BN35" s="7"/>
      <c r="BO35" s="33"/>
      <c r="BP35" s="14"/>
      <c r="BQ35" s="14"/>
      <c r="BR35" s="7"/>
      <c r="BS35" s="7"/>
      <c r="BT35" s="7"/>
      <c r="BU35" s="15"/>
      <c r="BV35" s="15"/>
      <c r="BW35" s="300"/>
      <c r="BX35" s="300"/>
      <c r="BY35" s="33"/>
      <c r="BZ35" s="36"/>
    </row>
    <row r="36" spans="1:78" s="1" customFormat="1" ht="15" customHeight="1">
      <c r="A36" s="12" t="s">
        <v>7</v>
      </c>
      <c r="B36" s="24" t="s">
        <v>62</v>
      </c>
      <c r="C36" s="24" t="s">
        <v>227</v>
      </c>
      <c r="D36" s="24" t="s">
        <v>13</v>
      </c>
      <c r="E36" s="3">
        <v>255005</v>
      </c>
      <c r="F36" s="9" t="s">
        <v>13</v>
      </c>
      <c r="G36" s="10" t="s">
        <v>13</v>
      </c>
      <c r="H36" s="3">
        <v>4</v>
      </c>
      <c r="I36" s="3">
        <v>36</v>
      </c>
      <c r="J36" s="3">
        <v>1414</v>
      </c>
      <c r="K36" s="3" t="s">
        <v>186</v>
      </c>
      <c r="L36" s="3" t="s">
        <v>189</v>
      </c>
      <c r="M36" s="11" t="s">
        <v>187</v>
      </c>
      <c r="N36" s="11" t="s">
        <v>187</v>
      </c>
      <c r="O36" s="11" t="s">
        <v>193</v>
      </c>
      <c r="P36" s="3" t="s">
        <v>188</v>
      </c>
      <c r="Q36" s="12" t="s">
        <v>110</v>
      </c>
      <c r="R36" s="12" t="s">
        <v>222</v>
      </c>
      <c r="S36" s="12"/>
      <c r="T36" s="12" t="s">
        <v>36</v>
      </c>
      <c r="U36" s="12" t="s">
        <v>13</v>
      </c>
      <c r="V36" s="25" t="s">
        <v>69</v>
      </c>
      <c r="W36" s="34">
        <v>36</v>
      </c>
      <c r="X36" s="24" t="s">
        <v>166</v>
      </c>
      <c r="Y36" s="110" t="s">
        <v>37</v>
      </c>
      <c r="Z36" s="33">
        <v>2500000</v>
      </c>
      <c r="AA36" s="33"/>
      <c r="AB36" s="7">
        <f>Z36+AA36</f>
        <v>2500000</v>
      </c>
      <c r="AC36" s="33">
        <v>-2300000</v>
      </c>
      <c r="AD36" s="33">
        <f>AB36+AC36</f>
        <v>200000</v>
      </c>
      <c r="AE36" s="33"/>
      <c r="AF36" s="7">
        <f>+AD36+AE36</f>
        <v>200000</v>
      </c>
      <c r="AG36" s="33"/>
      <c r="AH36" s="33">
        <v>200000</v>
      </c>
      <c r="AI36" s="33">
        <v>0</v>
      </c>
      <c r="AJ36" s="33"/>
      <c r="AK36" s="33"/>
      <c r="AL36" s="7">
        <f>AK36</f>
        <v>0</v>
      </c>
      <c r="AM36" s="33"/>
      <c r="AN36" s="7">
        <f>AM36</f>
        <v>0</v>
      </c>
      <c r="AO36" s="33"/>
      <c r="AP36" s="33">
        <v>0</v>
      </c>
      <c r="AQ36" s="7">
        <f>AO36+AP36</f>
        <v>0</v>
      </c>
      <c r="AR36" s="7">
        <f>AK36+AM36+AO36</f>
        <v>0</v>
      </c>
      <c r="AS36" s="7">
        <f>AL36+AN36+AQ36</f>
        <v>0</v>
      </c>
      <c r="AT36" s="33"/>
      <c r="AU36" s="33"/>
      <c r="AV36" s="7">
        <f>AT36+AU36</f>
        <v>0</v>
      </c>
      <c r="AW36" s="33"/>
      <c r="AX36" s="33"/>
      <c r="AY36" s="7">
        <f>AW36+AX36</f>
        <v>0</v>
      </c>
      <c r="AZ36" s="33"/>
      <c r="BA36" s="33"/>
      <c r="BB36" s="7">
        <f>AZ36+BA36</f>
        <v>0</v>
      </c>
      <c r="BC36" s="33"/>
      <c r="BD36" s="7">
        <f>BC36</f>
        <v>0</v>
      </c>
      <c r="BE36" s="33"/>
      <c r="BF36" s="7">
        <f>BE36</f>
        <v>0</v>
      </c>
      <c r="BG36" s="33"/>
      <c r="BH36" s="7">
        <f>BG36</f>
        <v>0</v>
      </c>
      <c r="BI36" s="33"/>
      <c r="BJ36" s="7">
        <f>BI36</f>
        <v>0</v>
      </c>
      <c r="BK36" s="33"/>
      <c r="BL36" s="7">
        <f>BK36</f>
        <v>0</v>
      </c>
      <c r="BM36" s="33"/>
      <c r="BN36" s="7">
        <f>BM36</f>
        <v>0</v>
      </c>
      <c r="BO36" s="33">
        <v>169290</v>
      </c>
      <c r="BP36" s="14">
        <f>AK36+AM36+AO36+AT36+AW36+AZ36+BC36+BE36+BG36+BI36+BK36+BM36</f>
        <v>0</v>
      </c>
      <c r="BQ36" s="14">
        <f>AL36+AN36+AQ36+AV36+AY36+BB36</f>
        <v>0</v>
      </c>
      <c r="BR36" s="7"/>
      <c r="BS36" s="7">
        <f>AD36-BP36</f>
        <v>200000</v>
      </c>
      <c r="BT36" s="7">
        <f>AD36-BQ36</f>
        <v>200000</v>
      </c>
      <c r="BU36" s="15">
        <f>BP36/AD36</f>
        <v>0</v>
      </c>
      <c r="BV36" s="15">
        <f>BQ36/AD36</f>
        <v>0</v>
      </c>
      <c r="BW36" s="33"/>
      <c r="BX36" s="33"/>
      <c r="BY36" s="33"/>
      <c r="BZ36" s="36"/>
    </row>
    <row r="37" spans="1:78" s="1" customFormat="1" ht="15" customHeight="1">
      <c r="A37" s="12" t="s">
        <v>7</v>
      </c>
      <c r="B37" s="24" t="s">
        <v>62</v>
      </c>
      <c r="C37" s="24" t="s">
        <v>227</v>
      </c>
      <c r="D37" s="24" t="s">
        <v>13</v>
      </c>
      <c r="E37" s="3">
        <v>255005</v>
      </c>
      <c r="F37" s="9"/>
      <c r="G37" s="10"/>
      <c r="H37" s="3"/>
      <c r="I37" s="3"/>
      <c r="J37" s="3"/>
      <c r="K37" s="3"/>
      <c r="L37" s="3"/>
      <c r="M37" s="11"/>
      <c r="N37" s="11"/>
      <c r="O37" s="11"/>
      <c r="P37" s="3"/>
      <c r="Q37" s="12"/>
      <c r="R37" s="12"/>
      <c r="S37" s="12"/>
      <c r="T37" s="12"/>
      <c r="U37" s="12"/>
      <c r="V37" s="25"/>
      <c r="W37" s="34"/>
      <c r="X37" s="24" t="s">
        <v>478</v>
      </c>
      <c r="Y37" s="110" t="s">
        <v>460</v>
      </c>
      <c r="Z37" s="33"/>
      <c r="AA37" s="33"/>
      <c r="AB37" s="7"/>
      <c r="AC37" s="33"/>
      <c r="AD37" s="33"/>
      <c r="AE37" s="33"/>
      <c r="AF37" s="7"/>
      <c r="AG37" s="33"/>
      <c r="AH37" s="33">
        <v>7100000</v>
      </c>
      <c r="AI37" s="33">
        <v>0</v>
      </c>
      <c r="AJ37" s="33">
        <v>0</v>
      </c>
      <c r="AK37" s="33"/>
      <c r="AL37" s="7"/>
      <c r="AM37" s="33"/>
      <c r="AN37" s="7"/>
      <c r="AO37" s="33"/>
      <c r="AP37" s="33"/>
      <c r="AQ37" s="7"/>
      <c r="AR37" s="7"/>
      <c r="AS37" s="7"/>
      <c r="AT37" s="33"/>
      <c r="AU37" s="33"/>
      <c r="AV37" s="7"/>
      <c r="AW37" s="33"/>
      <c r="AX37" s="33"/>
      <c r="AY37" s="7"/>
      <c r="AZ37" s="33"/>
      <c r="BA37" s="33"/>
      <c r="BB37" s="7"/>
      <c r="BC37" s="33"/>
      <c r="BD37" s="7"/>
      <c r="BE37" s="33"/>
      <c r="BF37" s="7"/>
      <c r="BG37" s="33"/>
      <c r="BH37" s="7"/>
      <c r="BI37" s="33"/>
      <c r="BJ37" s="7"/>
      <c r="BK37" s="33"/>
      <c r="BL37" s="7"/>
      <c r="BM37" s="33"/>
      <c r="BN37" s="7"/>
      <c r="BO37" s="33"/>
      <c r="BP37" s="14"/>
      <c r="BQ37" s="14"/>
      <c r="BR37" s="7"/>
      <c r="BS37" s="7"/>
      <c r="BT37" s="7"/>
      <c r="BU37" s="15"/>
      <c r="BV37" s="15"/>
      <c r="BW37" s="33"/>
      <c r="BX37" s="33"/>
      <c r="BY37" s="33"/>
      <c r="BZ37" s="36"/>
    </row>
    <row r="38" spans="1:78" s="1" customFormat="1" ht="15" customHeight="1">
      <c r="A38" s="12" t="s">
        <v>7</v>
      </c>
      <c r="B38" s="24" t="s">
        <v>62</v>
      </c>
      <c r="C38" s="24" t="s">
        <v>227</v>
      </c>
      <c r="D38" s="24" t="s">
        <v>13</v>
      </c>
      <c r="E38" s="3">
        <v>255005</v>
      </c>
      <c r="F38" s="9"/>
      <c r="G38" s="10"/>
      <c r="H38" s="3"/>
      <c r="I38" s="3"/>
      <c r="J38" s="3"/>
      <c r="K38" s="3"/>
      <c r="L38" s="3"/>
      <c r="M38" s="11"/>
      <c r="N38" s="11"/>
      <c r="O38" s="11"/>
      <c r="P38" s="3"/>
      <c r="Q38" s="12"/>
      <c r="R38" s="12"/>
      <c r="S38" s="12"/>
      <c r="T38" s="12"/>
      <c r="U38" s="12"/>
      <c r="V38" s="25"/>
      <c r="W38" s="34"/>
      <c r="X38" s="24" t="s">
        <v>479</v>
      </c>
      <c r="Y38" s="110" t="s">
        <v>460</v>
      </c>
      <c r="Z38" s="33"/>
      <c r="AA38" s="33"/>
      <c r="AB38" s="7"/>
      <c r="AC38" s="33"/>
      <c r="AD38" s="33"/>
      <c r="AE38" s="33"/>
      <c r="AF38" s="7"/>
      <c r="AG38" s="33"/>
      <c r="AH38" s="33">
        <v>500000</v>
      </c>
      <c r="AI38" s="33">
        <v>500000</v>
      </c>
      <c r="AJ38" s="33">
        <v>0</v>
      </c>
      <c r="AK38" s="33"/>
      <c r="AL38" s="7"/>
      <c r="AM38" s="33"/>
      <c r="AN38" s="7"/>
      <c r="AO38" s="33"/>
      <c r="AP38" s="33"/>
      <c r="AQ38" s="7"/>
      <c r="AR38" s="7"/>
      <c r="AS38" s="7"/>
      <c r="AT38" s="33"/>
      <c r="AU38" s="33"/>
      <c r="AV38" s="7"/>
      <c r="AW38" s="33"/>
      <c r="AX38" s="33"/>
      <c r="AY38" s="7"/>
      <c r="AZ38" s="33"/>
      <c r="BA38" s="33"/>
      <c r="BB38" s="7"/>
      <c r="BC38" s="33"/>
      <c r="BD38" s="7"/>
      <c r="BE38" s="33"/>
      <c r="BF38" s="7"/>
      <c r="BG38" s="33"/>
      <c r="BH38" s="7"/>
      <c r="BI38" s="33"/>
      <c r="BJ38" s="7"/>
      <c r="BK38" s="33"/>
      <c r="BL38" s="7"/>
      <c r="BM38" s="33"/>
      <c r="BN38" s="7"/>
      <c r="BO38" s="33"/>
      <c r="BP38" s="14"/>
      <c r="BQ38" s="14"/>
      <c r="BR38" s="7"/>
      <c r="BS38" s="7"/>
      <c r="BT38" s="7"/>
      <c r="BU38" s="15"/>
      <c r="BV38" s="15"/>
      <c r="BW38" s="33"/>
      <c r="BX38" s="33"/>
      <c r="BY38" s="33"/>
      <c r="BZ38" s="36"/>
    </row>
    <row r="39" spans="1:78" s="1" customFormat="1" ht="17.100000000000001" customHeight="1" thickBot="1">
      <c r="A39" s="12"/>
      <c r="B39" s="24"/>
      <c r="C39" s="24"/>
      <c r="D39" s="24"/>
      <c r="E39" s="3"/>
      <c r="F39" s="9"/>
      <c r="G39" s="10"/>
      <c r="H39" s="3"/>
      <c r="I39" s="3"/>
      <c r="J39" s="3"/>
      <c r="K39" s="3"/>
      <c r="L39" s="3"/>
      <c r="M39" s="11"/>
      <c r="N39" s="11"/>
      <c r="O39" s="11"/>
      <c r="P39" s="3"/>
      <c r="Q39" s="12"/>
      <c r="R39" s="12"/>
      <c r="S39" s="12"/>
      <c r="T39" s="12"/>
      <c r="U39" s="12"/>
      <c r="V39" s="25"/>
      <c r="W39" s="34"/>
      <c r="X39" s="24"/>
      <c r="Y39" s="110"/>
      <c r="Z39" s="33"/>
      <c r="AA39" s="33"/>
      <c r="AB39" s="7"/>
      <c r="AC39" s="33"/>
      <c r="AD39" s="33"/>
      <c r="AE39" s="33"/>
      <c r="AF39" s="7"/>
      <c r="AG39" s="33"/>
      <c r="AH39" s="325">
        <f>SUM(AH36:AH38)</f>
        <v>7800000</v>
      </c>
      <c r="AI39" s="325">
        <f>SUM(AI36:AI38)</f>
        <v>500000</v>
      </c>
      <c r="AJ39" s="325">
        <f>SUM(AJ36:AJ38)</f>
        <v>0</v>
      </c>
      <c r="AK39" s="33"/>
      <c r="AL39" s="7"/>
      <c r="AM39" s="33"/>
      <c r="AN39" s="7"/>
      <c r="AO39" s="33"/>
      <c r="AP39" s="33"/>
      <c r="AQ39" s="7"/>
      <c r="AR39" s="7"/>
      <c r="AS39" s="7"/>
      <c r="AT39" s="33"/>
      <c r="AU39" s="33"/>
      <c r="AV39" s="7"/>
      <c r="AW39" s="33"/>
      <c r="AX39" s="33"/>
      <c r="AY39" s="7"/>
      <c r="AZ39" s="33"/>
      <c r="BA39" s="33"/>
      <c r="BB39" s="7"/>
      <c r="BC39" s="33"/>
      <c r="BD39" s="7"/>
      <c r="BE39" s="33"/>
      <c r="BF39" s="7"/>
      <c r="BG39" s="33"/>
      <c r="BH39" s="7"/>
      <c r="BI39" s="33"/>
      <c r="BJ39" s="7"/>
      <c r="BK39" s="33"/>
      <c r="BL39" s="7"/>
      <c r="BM39" s="33"/>
      <c r="BN39" s="7"/>
      <c r="BO39" s="33"/>
      <c r="BP39" s="14"/>
      <c r="BQ39" s="14"/>
      <c r="BR39" s="7"/>
      <c r="BS39" s="7"/>
      <c r="BT39" s="7"/>
      <c r="BU39" s="15"/>
      <c r="BV39" s="15"/>
      <c r="BW39" s="33"/>
      <c r="BX39" s="33"/>
      <c r="BY39" s="33"/>
      <c r="BZ39" s="36"/>
    </row>
    <row r="40" spans="1:78" s="1" customFormat="1" ht="15" customHeight="1">
      <c r="A40" s="12"/>
      <c r="B40" s="24"/>
      <c r="C40" s="24"/>
      <c r="D40" s="24"/>
      <c r="E40" s="3"/>
      <c r="F40" s="9"/>
      <c r="G40" s="10"/>
      <c r="H40" s="3"/>
      <c r="I40" s="3"/>
      <c r="J40" s="3"/>
      <c r="K40" s="3"/>
      <c r="L40" s="3"/>
      <c r="M40" s="11"/>
      <c r="N40" s="11"/>
      <c r="O40" s="11"/>
      <c r="P40" s="3"/>
      <c r="Q40" s="12"/>
      <c r="R40" s="12"/>
      <c r="S40" s="12"/>
      <c r="T40" s="12"/>
      <c r="U40" s="12"/>
      <c r="V40" s="25"/>
      <c r="W40" s="34"/>
      <c r="X40" s="24"/>
      <c r="Y40" s="110"/>
      <c r="Z40" s="33"/>
      <c r="AA40" s="33"/>
      <c r="AB40" s="7"/>
      <c r="AC40" s="33"/>
      <c r="AD40" s="33"/>
      <c r="AE40" s="33"/>
      <c r="AF40" s="7"/>
      <c r="AG40" s="33"/>
      <c r="AH40" s="33"/>
      <c r="AI40" s="33"/>
      <c r="AJ40" s="33"/>
      <c r="AK40" s="33"/>
      <c r="AL40" s="7"/>
      <c r="AM40" s="33"/>
      <c r="AN40" s="7"/>
      <c r="AO40" s="33"/>
      <c r="AP40" s="33"/>
      <c r="AQ40" s="7"/>
      <c r="AR40" s="7"/>
      <c r="AS40" s="7"/>
      <c r="AT40" s="33"/>
      <c r="AU40" s="33"/>
      <c r="AV40" s="7"/>
      <c r="AW40" s="33"/>
      <c r="AX40" s="33"/>
      <c r="AY40" s="7"/>
      <c r="AZ40" s="33"/>
      <c r="BA40" s="33"/>
      <c r="BB40" s="7"/>
      <c r="BC40" s="33"/>
      <c r="BD40" s="7"/>
      <c r="BE40" s="33"/>
      <c r="BF40" s="7"/>
      <c r="BG40" s="33"/>
      <c r="BH40" s="7"/>
      <c r="BI40" s="33"/>
      <c r="BJ40" s="7"/>
      <c r="BK40" s="33"/>
      <c r="BL40" s="7"/>
      <c r="BM40" s="33"/>
      <c r="BN40" s="7"/>
      <c r="BO40" s="33"/>
      <c r="BP40" s="14"/>
      <c r="BQ40" s="14"/>
      <c r="BR40" s="7"/>
      <c r="BS40" s="7"/>
      <c r="BT40" s="7"/>
      <c r="BU40" s="15"/>
      <c r="BV40" s="15"/>
      <c r="BW40" s="33"/>
      <c r="BX40" s="33"/>
      <c r="BY40" s="33"/>
      <c r="BZ40" s="36"/>
    </row>
    <row r="41" spans="1:78" s="1" customFormat="1" ht="15" customHeight="1">
      <c r="A41" s="12" t="s">
        <v>7</v>
      </c>
      <c r="B41" s="24" t="s">
        <v>62</v>
      </c>
      <c r="C41" s="24" t="s">
        <v>227</v>
      </c>
      <c r="D41" s="24" t="s">
        <v>13</v>
      </c>
      <c r="E41" s="3">
        <v>255005</v>
      </c>
      <c r="F41" s="9" t="s">
        <v>13</v>
      </c>
      <c r="G41" s="10" t="s">
        <v>13</v>
      </c>
      <c r="H41" s="3">
        <v>4</v>
      </c>
      <c r="I41" s="3">
        <v>36</v>
      </c>
      <c r="J41" s="3">
        <v>1416</v>
      </c>
      <c r="K41" s="3" t="s">
        <v>186</v>
      </c>
      <c r="L41" s="3" t="s">
        <v>189</v>
      </c>
      <c r="M41" s="11" t="s">
        <v>187</v>
      </c>
      <c r="N41" s="11" t="s">
        <v>187</v>
      </c>
      <c r="O41" s="11" t="s">
        <v>193</v>
      </c>
      <c r="P41" s="3" t="s">
        <v>188</v>
      </c>
      <c r="Q41" s="12" t="s">
        <v>110</v>
      </c>
      <c r="R41" s="12" t="s">
        <v>222</v>
      </c>
      <c r="S41" s="12"/>
      <c r="T41" s="12" t="s">
        <v>36</v>
      </c>
      <c r="U41" s="12" t="s">
        <v>13</v>
      </c>
      <c r="V41" s="25" t="s">
        <v>69</v>
      </c>
      <c r="W41" s="34">
        <v>36</v>
      </c>
      <c r="X41" s="24" t="s">
        <v>201</v>
      </c>
      <c r="Y41" s="110" t="s">
        <v>37</v>
      </c>
      <c r="Z41" s="33">
        <v>500000</v>
      </c>
      <c r="AA41" s="33"/>
      <c r="AB41" s="7">
        <f>Z41+AA41</f>
        <v>500000</v>
      </c>
      <c r="AC41" s="33">
        <v>-500000</v>
      </c>
      <c r="AD41" s="33">
        <f>AB41+AC41</f>
        <v>0</v>
      </c>
      <c r="AE41" s="33"/>
      <c r="AF41" s="7">
        <f>+AD41+AE41</f>
        <v>0</v>
      </c>
      <c r="AG41" s="33"/>
      <c r="AH41" s="323">
        <v>1000000</v>
      </c>
      <c r="AI41" s="323">
        <v>200000</v>
      </c>
      <c r="AJ41" s="323">
        <v>200000</v>
      </c>
      <c r="AK41" s="33"/>
      <c r="AL41" s="7">
        <f>AK41</f>
        <v>0</v>
      </c>
      <c r="AM41" s="33"/>
      <c r="AN41" s="7">
        <f>AM41</f>
        <v>0</v>
      </c>
      <c r="AO41" s="33"/>
      <c r="AP41" s="33">
        <v>0</v>
      </c>
      <c r="AQ41" s="7">
        <f>AO41+AP41</f>
        <v>0</v>
      </c>
      <c r="AR41" s="7">
        <f>AK41+AM41+AO41</f>
        <v>0</v>
      </c>
      <c r="AS41" s="7">
        <f>AL41+AN41+AQ41</f>
        <v>0</v>
      </c>
      <c r="AT41" s="33"/>
      <c r="AU41" s="33"/>
      <c r="AV41" s="7">
        <f>AT41+AU41</f>
        <v>0</v>
      </c>
      <c r="AW41" s="33"/>
      <c r="AX41" s="33"/>
      <c r="AY41" s="7">
        <f>AW41+AX41</f>
        <v>0</v>
      </c>
      <c r="AZ41" s="33"/>
      <c r="BA41" s="33"/>
      <c r="BB41" s="7">
        <f>AZ41+BA41</f>
        <v>0</v>
      </c>
      <c r="BC41" s="33"/>
      <c r="BD41" s="7">
        <f>BC41</f>
        <v>0</v>
      </c>
      <c r="BE41" s="33"/>
      <c r="BF41" s="7">
        <f>BE41</f>
        <v>0</v>
      </c>
      <c r="BG41" s="33"/>
      <c r="BH41" s="7">
        <f>BG41</f>
        <v>0</v>
      </c>
      <c r="BI41" s="33"/>
      <c r="BJ41" s="7">
        <f>BI41</f>
        <v>0</v>
      </c>
      <c r="BK41" s="33"/>
      <c r="BL41" s="7">
        <f>BK41</f>
        <v>0</v>
      </c>
      <c r="BM41" s="33"/>
      <c r="BN41" s="7">
        <f>BM41</f>
        <v>0</v>
      </c>
      <c r="BO41" s="33"/>
      <c r="BP41" s="14">
        <f>AK41+AM41+AO41+AT41+AW41+AZ41+BC41+BE41+BG41+BI41+BK41+BM41</f>
        <v>0</v>
      </c>
      <c r="BQ41" s="14">
        <f>AL41+AN41+AQ41+AV41+AY41+BB41</f>
        <v>0</v>
      </c>
      <c r="BR41" s="7"/>
      <c r="BS41" s="7">
        <f>AD41-BP41</f>
        <v>0</v>
      </c>
      <c r="BT41" s="7">
        <f>AD41-BQ41</f>
        <v>0</v>
      </c>
      <c r="BU41" s="15" t="e">
        <f>BP41/AD41</f>
        <v>#DIV/0!</v>
      </c>
      <c r="BV41" s="15" t="e">
        <f>BQ41/AD41</f>
        <v>#DIV/0!</v>
      </c>
      <c r="BW41" s="33"/>
      <c r="BX41" s="33"/>
      <c r="BY41" s="33"/>
      <c r="BZ41" s="36"/>
    </row>
    <row r="42" spans="1:78" s="1" customFormat="1" ht="15" customHeight="1">
      <c r="A42" s="12"/>
      <c r="B42" s="24"/>
      <c r="C42" s="24"/>
      <c r="D42" s="24"/>
      <c r="E42" s="3"/>
      <c r="F42" s="9"/>
      <c r="G42" s="10"/>
      <c r="H42" s="3"/>
      <c r="I42" s="3"/>
      <c r="J42" s="3"/>
      <c r="K42" s="3"/>
      <c r="L42" s="3"/>
      <c r="M42" s="11"/>
      <c r="N42" s="11"/>
      <c r="O42" s="11"/>
      <c r="P42" s="3"/>
      <c r="Q42" s="12"/>
      <c r="R42" s="12"/>
      <c r="S42" s="12"/>
      <c r="T42" s="12"/>
      <c r="U42" s="12"/>
      <c r="V42" s="25"/>
      <c r="W42" s="34"/>
      <c r="X42" s="24"/>
      <c r="Y42" s="110"/>
      <c r="Z42" s="33"/>
      <c r="AA42" s="33"/>
      <c r="AB42" s="7"/>
      <c r="AC42" s="33"/>
      <c r="AD42" s="33"/>
      <c r="AE42" s="33"/>
      <c r="AF42" s="7"/>
      <c r="AG42" s="33"/>
      <c r="AH42" s="33"/>
      <c r="AI42" s="33"/>
      <c r="AJ42" s="33"/>
      <c r="AK42" s="33"/>
      <c r="AL42" s="7"/>
      <c r="AM42" s="33"/>
      <c r="AN42" s="7"/>
      <c r="AO42" s="33"/>
      <c r="AP42" s="33"/>
      <c r="AQ42" s="7"/>
      <c r="AR42" s="7"/>
      <c r="AS42" s="7"/>
      <c r="AT42" s="33"/>
      <c r="AU42" s="33"/>
      <c r="AV42" s="7"/>
      <c r="AW42" s="33"/>
      <c r="AX42" s="33"/>
      <c r="AY42" s="7"/>
      <c r="AZ42" s="33"/>
      <c r="BA42" s="33"/>
      <c r="BB42" s="7"/>
      <c r="BC42" s="33"/>
      <c r="BD42" s="7"/>
      <c r="BE42" s="33"/>
      <c r="BF42" s="7"/>
      <c r="BG42" s="33"/>
      <c r="BH42" s="7"/>
      <c r="BI42" s="33"/>
      <c r="BJ42" s="7"/>
      <c r="BK42" s="33"/>
      <c r="BL42" s="7"/>
      <c r="BM42" s="33"/>
      <c r="BN42" s="7"/>
      <c r="BO42" s="33"/>
      <c r="BP42" s="14"/>
      <c r="BQ42" s="14"/>
      <c r="BR42" s="7"/>
      <c r="BS42" s="7"/>
      <c r="BT42" s="7"/>
      <c r="BU42" s="15"/>
      <c r="BV42" s="15"/>
      <c r="BW42" s="33"/>
      <c r="BX42" s="33"/>
      <c r="BY42" s="33"/>
      <c r="BZ42" s="36"/>
    </row>
    <row r="43" spans="1:78" s="1" customFormat="1" ht="15" customHeight="1">
      <c r="A43" s="12" t="s">
        <v>7</v>
      </c>
      <c r="B43" s="24" t="s">
        <v>62</v>
      </c>
      <c r="C43" s="24" t="s">
        <v>227</v>
      </c>
      <c r="D43" s="24" t="s">
        <v>13</v>
      </c>
      <c r="E43" s="3">
        <v>255005</v>
      </c>
      <c r="F43" s="9" t="s">
        <v>13</v>
      </c>
      <c r="G43" s="10" t="s">
        <v>13</v>
      </c>
      <c r="H43" s="3">
        <v>4</v>
      </c>
      <c r="I43" s="3">
        <v>36</v>
      </c>
      <c r="J43" s="3">
        <v>1415</v>
      </c>
      <c r="K43" s="3" t="s">
        <v>186</v>
      </c>
      <c r="L43" s="3" t="s">
        <v>189</v>
      </c>
      <c r="M43" s="11" t="s">
        <v>187</v>
      </c>
      <c r="N43" s="11" t="s">
        <v>187</v>
      </c>
      <c r="O43" s="11" t="s">
        <v>193</v>
      </c>
      <c r="P43" s="3" t="s">
        <v>188</v>
      </c>
      <c r="Q43" s="12" t="s">
        <v>110</v>
      </c>
      <c r="R43" s="12" t="s">
        <v>222</v>
      </c>
      <c r="S43" s="12"/>
      <c r="T43" s="12" t="s">
        <v>36</v>
      </c>
      <c r="U43" s="12" t="s">
        <v>13</v>
      </c>
      <c r="V43" s="25" t="s">
        <v>69</v>
      </c>
      <c r="W43" s="34">
        <v>45</v>
      </c>
      <c r="X43" s="118" t="s">
        <v>130</v>
      </c>
      <c r="Y43" s="110" t="s">
        <v>37</v>
      </c>
      <c r="Z43" s="33">
        <v>700000</v>
      </c>
      <c r="AA43" s="33"/>
      <c r="AB43" s="7">
        <f>Z43+AA43</f>
        <v>700000</v>
      </c>
      <c r="AC43" s="33"/>
      <c r="AD43" s="33">
        <f>AB43+AC43</f>
        <v>700000</v>
      </c>
      <c r="AE43" s="33"/>
      <c r="AF43" s="7">
        <f>+AD43+AE43</f>
        <v>700000</v>
      </c>
      <c r="AG43" s="33"/>
      <c r="AH43" s="33">
        <v>1500000</v>
      </c>
      <c r="AI43" s="33">
        <v>1000000</v>
      </c>
      <c r="AJ43" s="33">
        <v>1000000</v>
      </c>
      <c r="AK43" s="33"/>
      <c r="AL43" s="7">
        <f>AK43</f>
        <v>0</v>
      </c>
      <c r="AM43" s="33"/>
      <c r="AN43" s="7">
        <f>AM43</f>
        <v>0</v>
      </c>
      <c r="AO43" s="33"/>
      <c r="AP43" s="33">
        <v>0</v>
      </c>
      <c r="AQ43" s="7">
        <f>AO43+AP43</f>
        <v>0</v>
      </c>
      <c r="AR43" s="7">
        <f>AK43+AM43+AO43</f>
        <v>0</v>
      </c>
      <c r="AS43" s="7">
        <f>AL43+AN43+AQ43</f>
        <v>0</v>
      </c>
      <c r="AT43" s="33"/>
      <c r="AU43" s="33"/>
      <c r="AV43" s="7">
        <f>AT43+AU43</f>
        <v>0</v>
      </c>
      <c r="AW43" s="33"/>
      <c r="AX43" s="33"/>
      <c r="AY43" s="7">
        <f>AW43+AX43</f>
        <v>0</v>
      </c>
      <c r="AZ43" s="33"/>
      <c r="BA43" s="33"/>
      <c r="BB43" s="7">
        <f>AZ43+BA43</f>
        <v>0</v>
      </c>
      <c r="BC43" s="33"/>
      <c r="BD43" s="7">
        <f>BC43</f>
        <v>0</v>
      </c>
      <c r="BE43" s="33"/>
      <c r="BF43" s="7">
        <f>BE43</f>
        <v>0</v>
      </c>
      <c r="BG43" s="33"/>
      <c r="BH43" s="7">
        <f>BG43</f>
        <v>0</v>
      </c>
      <c r="BI43" s="33"/>
      <c r="BJ43" s="7">
        <f>BI43</f>
        <v>0</v>
      </c>
      <c r="BK43" s="33"/>
      <c r="BL43" s="7">
        <f>BK43</f>
        <v>0</v>
      </c>
      <c r="BM43" s="33"/>
      <c r="BN43" s="7">
        <f>BM43</f>
        <v>0</v>
      </c>
      <c r="BO43" s="33"/>
      <c r="BP43" s="14">
        <f>AK43+AM43+AO43+AT43+AW43+AZ43+BC43+BE43+BG43+BI43+BK43+BM43</f>
        <v>0</v>
      </c>
      <c r="BQ43" s="14">
        <f>AL43+AN43+AQ43+AV43+AY43+BB43</f>
        <v>0</v>
      </c>
      <c r="BR43" s="7"/>
      <c r="BS43" s="7">
        <f>AD43-BP43</f>
        <v>700000</v>
      </c>
      <c r="BT43" s="7">
        <f>AD43-BQ43</f>
        <v>700000</v>
      </c>
      <c r="BU43" s="15">
        <f>BP43/AD43</f>
        <v>0</v>
      </c>
      <c r="BV43" s="15">
        <f>BQ43/AD43</f>
        <v>0</v>
      </c>
      <c r="BW43" s="33"/>
      <c r="BX43" s="33"/>
      <c r="BY43" s="33"/>
      <c r="BZ43" s="36"/>
    </row>
    <row r="44" spans="1:78" s="1" customFormat="1" ht="15" customHeight="1">
      <c r="A44" s="12" t="s">
        <v>7</v>
      </c>
      <c r="B44" s="24" t="s">
        <v>62</v>
      </c>
      <c r="C44" s="24" t="s">
        <v>227</v>
      </c>
      <c r="D44" s="24" t="s">
        <v>13</v>
      </c>
      <c r="E44" s="3">
        <v>255005</v>
      </c>
      <c r="F44" s="9"/>
      <c r="G44" s="10"/>
      <c r="H44" s="3"/>
      <c r="I44" s="3"/>
      <c r="J44" s="3"/>
      <c r="K44" s="3"/>
      <c r="L44" s="3"/>
      <c r="M44" s="11"/>
      <c r="N44" s="11"/>
      <c r="O44" s="11"/>
      <c r="P44" s="3"/>
      <c r="Q44" s="12"/>
      <c r="R44" s="12"/>
      <c r="S44" s="12"/>
      <c r="T44" s="12"/>
      <c r="U44" s="12"/>
      <c r="V44" s="25"/>
      <c r="W44" s="34"/>
      <c r="X44" s="24" t="s">
        <v>461</v>
      </c>
      <c r="Y44" s="110" t="s">
        <v>460</v>
      </c>
      <c r="Z44" s="36"/>
      <c r="AA44" s="36"/>
      <c r="AB44" s="7"/>
      <c r="AC44" s="33"/>
      <c r="AD44" s="33"/>
      <c r="AE44" s="33"/>
      <c r="AF44" s="7"/>
      <c r="AG44" s="33"/>
      <c r="AH44" s="36">
        <v>0</v>
      </c>
      <c r="AI44" s="36">
        <v>500000</v>
      </c>
      <c r="AJ44" s="33">
        <v>0</v>
      </c>
      <c r="AK44" s="36"/>
      <c r="AL44" s="7"/>
      <c r="AM44" s="36"/>
      <c r="AN44" s="7"/>
      <c r="AO44" s="36"/>
      <c r="AP44" s="36"/>
      <c r="AQ44" s="7"/>
      <c r="AR44" s="7"/>
      <c r="AS44" s="7"/>
      <c r="AT44" s="36"/>
      <c r="AU44" s="36"/>
      <c r="AV44" s="7"/>
      <c r="AW44" s="36"/>
      <c r="AX44" s="36"/>
      <c r="AY44" s="7"/>
      <c r="AZ44" s="36"/>
      <c r="BA44" s="36"/>
      <c r="BB44" s="7"/>
      <c r="BC44" s="36"/>
      <c r="BD44" s="7"/>
      <c r="BE44" s="36"/>
      <c r="BF44" s="7"/>
      <c r="BG44" s="36"/>
      <c r="BH44" s="7"/>
      <c r="BI44" s="36"/>
      <c r="BJ44" s="7"/>
      <c r="BK44" s="36"/>
      <c r="BL44" s="7"/>
      <c r="BM44" s="36"/>
      <c r="BN44" s="7"/>
      <c r="BO44" s="36"/>
      <c r="BP44" s="14"/>
      <c r="BQ44" s="14"/>
      <c r="BR44" s="7"/>
      <c r="BS44" s="7"/>
      <c r="BT44" s="7"/>
      <c r="BU44" s="15"/>
      <c r="BV44" s="15"/>
      <c r="BW44" s="300"/>
      <c r="BX44" s="300"/>
      <c r="BY44" s="33"/>
      <c r="BZ44" s="36"/>
    </row>
    <row r="45" spans="1:78" s="1" customFormat="1" ht="15" customHeight="1">
      <c r="A45" s="12" t="s">
        <v>7</v>
      </c>
      <c r="B45" s="24" t="s">
        <v>62</v>
      </c>
      <c r="C45" s="24" t="s">
        <v>227</v>
      </c>
      <c r="D45" s="24" t="s">
        <v>13</v>
      </c>
      <c r="E45" s="3">
        <v>255005</v>
      </c>
      <c r="F45" s="9"/>
      <c r="G45" s="10"/>
      <c r="H45" s="3"/>
      <c r="I45" s="3"/>
      <c r="J45" s="3"/>
      <c r="K45" s="3"/>
      <c r="L45" s="3"/>
      <c r="M45" s="11"/>
      <c r="N45" s="11"/>
      <c r="O45" s="11"/>
      <c r="P45" s="3"/>
      <c r="Q45" s="12"/>
      <c r="R45" s="12"/>
      <c r="S45" s="12"/>
      <c r="T45" s="12"/>
      <c r="U45" s="12"/>
      <c r="V45" s="25"/>
      <c r="W45" s="34"/>
      <c r="X45" s="24" t="s">
        <v>458</v>
      </c>
      <c r="Y45" s="110" t="s">
        <v>460</v>
      </c>
      <c r="Z45" s="36"/>
      <c r="AA45" s="36"/>
      <c r="AB45" s="7"/>
      <c r="AC45" s="33"/>
      <c r="AD45" s="33"/>
      <c r="AE45" s="33"/>
      <c r="AF45" s="7"/>
      <c r="AG45" s="33"/>
      <c r="AH45" s="36">
        <v>18180294</v>
      </c>
      <c r="AI45" s="36">
        <v>6000000</v>
      </c>
      <c r="AJ45" s="33">
        <v>0</v>
      </c>
      <c r="AK45" s="36"/>
      <c r="AL45" s="7"/>
      <c r="AM45" s="36"/>
      <c r="AN45" s="7"/>
      <c r="AO45" s="36"/>
      <c r="AP45" s="36"/>
      <c r="AQ45" s="7"/>
      <c r="AR45" s="7"/>
      <c r="AS45" s="7"/>
      <c r="AT45" s="36"/>
      <c r="AU45" s="36"/>
      <c r="AV45" s="7"/>
      <c r="AW45" s="36"/>
      <c r="AX45" s="36"/>
      <c r="AY45" s="7"/>
      <c r="AZ45" s="36"/>
      <c r="BA45" s="36"/>
      <c r="BB45" s="7"/>
      <c r="BC45" s="36"/>
      <c r="BD45" s="7"/>
      <c r="BE45" s="36"/>
      <c r="BF45" s="7"/>
      <c r="BG45" s="36"/>
      <c r="BH45" s="7"/>
      <c r="BI45" s="36"/>
      <c r="BJ45" s="7"/>
      <c r="BK45" s="36"/>
      <c r="BL45" s="7"/>
      <c r="BM45" s="36"/>
      <c r="BN45" s="7"/>
      <c r="BO45" s="36"/>
      <c r="BP45" s="14"/>
      <c r="BQ45" s="14"/>
      <c r="BR45" s="7"/>
      <c r="BS45" s="7"/>
      <c r="BT45" s="7"/>
      <c r="BU45" s="15"/>
      <c r="BV45" s="15"/>
      <c r="BW45" s="300"/>
      <c r="BX45" s="300"/>
      <c r="BY45" s="33"/>
      <c r="BZ45" s="36"/>
    </row>
    <row r="46" spans="1:78" s="1" customFormat="1" ht="17.100000000000001" customHeight="1" thickBot="1">
      <c r="A46" s="12"/>
      <c r="B46" s="24"/>
      <c r="C46" s="24"/>
      <c r="D46" s="24"/>
      <c r="E46" s="3"/>
      <c r="F46" s="9"/>
      <c r="G46" s="10"/>
      <c r="H46" s="3"/>
      <c r="I46" s="3"/>
      <c r="J46" s="3"/>
      <c r="K46" s="3"/>
      <c r="L46" s="3"/>
      <c r="M46" s="11"/>
      <c r="N46" s="11"/>
      <c r="O46" s="11"/>
      <c r="P46" s="3"/>
      <c r="Q46" s="12"/>
      <c r="R46" s="12"/>
      <c r="S46" s="12"/>
      <c r="T46" s="12"/>
      <c r="U46" s="12"/>
      <c r="V46" s="25"/>
      <c r="W46" s="34"/>
      <c r="X46" s="24"/>
      <c r="Y46" s="110"/>
      <c r="Z46" s="36"/>
      <c r="AA46" s="36"/>
      <c r="AB46" s="7"/>
      <c r="AC46" s="33"/>
      <c r="AD46" s="33"/>
      <c r="AE46" s="33"/>
      <c r="AF46" s="7"/>
      <c r="AG46" s="33"/>
      <c r="AH46" s="324">
        <f>SUM(AH43:AH45)</f>
        <v>19680294</v>
      </c>
      <c r="AI46" s="324">
        <f>SUM(AI43:AI45)</f>
        <v>7500000</v>
      </c>
      <c r="AJ46" s="324">
        <f>SUM(AJ43:AJ45)</f>
        <v>1000000</v>
      </c>
      <c r="AK46" s="36"/>
      <c r="AL46" s="7"/>
      <c r="AM46" s="36"/>
      <c r="AN46" s="7"/>
      <c r="AO46" s="36"/>
      <c r="AP46" s="36"/>
      <c r="AQ46" s="7"/>
      <c r="AR46" s="7"/>
      <c r="AS46" s="7"/>
      <c r="AT46" s="36"/>
      <c r="AU46" s="36"/>
      <c r="AV46" s="7"/>
      <c r="AW46" s="36"/>
      <c r="AX46" s="36"/>
      <c r="AY46" s="7"/>
      <c r="AZ46" s="36"/>
      <c r="BA46" s="36"/>
      <c r="BB46" s="7"/>
      <c r="BC46" s="36"/>
      <c r="BD46" s="7"/>
      <c r="BE46" s="36"/>
      <c r="BF46" s="7"/>
      <c r="BG46" s="36"/>
      <c r="BH46" s="7"/>
      <c r="BI46" s="36"/>
      <c r="BJ46" s="7"/>
      <c r="BK46" s="36"/>
      <c r="BL46" s="7"/>
      <c r="BM46" s="36"/>
      <c r="BN46" s="7"/>
      <c r="BO46" s="36"/>
      <c r="BP46" s="14"/>
      <c r="BQ46" s="14"/>
      <c r="BR46" s="7"/>
      <c r="BS46" s="7"/>
      <c r="BT46" s="7"/>
      <c r="BU46" s="15"/>
      <c r="BV46" s="15"/>
      <c r="BW46" s="300"/>
      <c r="BX46" s="300"/>
      <c r="BY46" s="33"/>
      <c r="BZ46" s="36"/>
    </row>
    <row r="47" spans="1:78" s="1" customFormat="1" ht="17.100000000000001" customHeight="1">
      <c r="A47" s="12"/>
      <c r="B47" s="24"/>
      <c r="C47" s="24"/>
      <c r="D47" s="24"/>
      <c r="E47" s="3"/>
      <c r="F47" s="9"/>
      <c r="G47" s="10"/>
      <c r="H47" s="3"/>
      <c r="I47" s="3"/>
      <c r="J47" s="3"/>
      <c r="K47" s="3"/>
      <c r="L47" s="3"/>
      <c r="M47" s="11"/>
      <c r="N47" s="11"/>
      <c r="O47" s="11"/>
      <c r="P47" s="3"/>
      <c r="Q47" s="12"/>
      <c r="R47" s="12"/>
      <c r="S47" s="12"/>
      <c r="T47" s="12"/>
      <c r="U47" s="12"/>
      <c r="V47" s="25"/>
      <c r="W47" s="34"/>
      <c r="X47" s="24"/>
      <c r="Y47" s="110"/>
      <c r="Z47" s="36"/>
      <c r="AA47" s="36"/>
      <c r="AB47" s="7"/>
      <c r="AC47" s="33"/>
      <c r="AD47" s="33"/>
      <c r="AE47" s="33"/>
      <c r="AF47" s="7"/>
      <c r="AG47" s="33"/>
      <c r="AH47" s="322"/>
      <c r="AI47" s="322"/>
      <c r="AJ47" s="322"/>
      <c r="AK47" s="36"/>
      <c r="AL47" s="7"/>
      <c r="AM47" s="36"/>
      <c r="AN47" s="7"/>
      <c r="AO47" s="36"/>
      <c r="AP47" s="36"/>
      <c r="AQ47" s="7"/>
      <c r="AR47" s="7"/>
      <c r="AS47" s="7"/>
      <c r="AT47" s="36"/>
      <c r="AU47" s="36"/>
      <c r="AV47" s="7"/>
      <c r="AW47" s="36"/>
      <c r="AX47" s="36"/>
      <c r="AY47" s="7"/>
      <c r="AZ47" s="36"/>
      <c r="BA47" s="36"/>
      <c r="BB47" s="7"/>
      <c r="BC47" s="36"/>
      <c r="BD47" s="7"/>
      <c r="BE47" s="36"/>
      <c r="BF47" s="7"/>
      <c r="BG47" s="36"/>
      <c r="BH47" s="7"/>
      <c r="BI47" s="36"/>
      <c r="BJ47" s="7"/>
      <c r="BK47" s="36"/>
      <c r="BL47" s="7"/>
      <c r="BM47" s="36"/>
      <c r="BN47" s="7"/>
      <c r="BO47" s="36"/>
      <c r="BP47" s="14"/>
      <c r="BQ47" s="14"/>
      <c r="BR47" s="7"/>
      <c r="BS47" s="7"/>
      <c r="BT47" s="7"/>
      <c r="BU47" s="15"/>
      <c r="BV47" s="15"/>
      <c r="BW47" s="300"/>
      <c r="BX47" s="300"/>
      <c r="BY47" s="33"/>
      <c r="BZ47" s="36"/>
    </row>
    <row r="48" spans="1:78" s="1" customFormat="1" ht="15" customHeight="1">
      <c r="A48" s="12" t="s">
        <v>7</v>
      </c>
      <c r="B48" s="24" t="s">
        <v>62</v>
      </c>
      <c r="C48" s="24" t="s">
        <v>227</v>
      </c>
      <c r="D48" s="24" t="s">
        <v>13</v>
      </c>
      <c r="E48" s="3">
        <v>255005</v>
      </c>
      <c r="F48" s="9"/>
      <c r="G48" s="10"/>
      <c r="H48" s="3"/>
      <c r="I48" s="3"/>
      <c r="J48" s="3"/>
      <c r="K48" s="3"/>
      <c r="L48" s="3"/>
      <c r="M48" s="11"/>
      <c r="N48" s="11"/>
      <c r="O48" s="11"/>
      <c r="P48" s="3"/>
      <c r="Q48" s="12"/>
      <c r="R48" s="12"/>
      <c r="S48" s="12"/>
      <c r="T48" s="12"/>
      <c r="U48" s="12"/>
      <c r="V48" s="25"/>
      <c r="W48" s="34"/>
      <c r="X48" s="24" t="s">
        <v>481</v>
      </c>
      <c r="Y48" s="110" t="s">
        <v>491</v>
      </c>
      <c r="Z48" s="36"/>
      <c r="AA48" s="36"/>
      <c r="AB48" s="7"/>
      <c r="AC48" s="33"/>
      <c r="AD48" s="33"/>
      <c r="AE48" s="33"/>
      <c r="AF48" s="7"/>
      <c r="AG48" s="33"/>
      <c r="AH48" s="36">
        <v>5000000</v>
      </c>
      <c r="AI48" s="36">
        <v>0</v>
      </c>
      <c r="AJ48" s="33">
        <v>0</v>
      </c>
      <c r="AK48" s="36"/>
      <c r="AL48" s="7"/>
      <c r="AM48" s="36"/>
      <c r="AN48" s="7"/>
      <c r="AO48" s="36"/>
      <c r="AP48" s="36"/>
      <c r="AQ48" s="7"/>
      <c r="AR48" s="7"/>
      <c r="AS48" s="7"/>
      <c r="AT48" s="36"/>
      <c r="AU48" s="36"/>
      <c r="AV48" s="7"/>
      <c r="AW48" s="36"/>
      <c r="AX48" s="36"/>
      <c r="AY48" s="7"/>
      <c r="AZ48" s="36"/>
      <c r="BA48" s="36"/>
      <c r="BB48" s="7"/>
      <c r="BC48" s="36"/>
      <c r="BD48" s="7"/>
      <c r="BE48" s="36"/>
      <c r="BF48" s="7"/>
      <c r="BG48" s="36"/>
      <c r="BH48" s="7"/>
      <c r="BI48" s="36"/>
      <c r="BJ48" s="7"/>
      <c r="BK48" s="36"/>
      <c r="BL48" s="7"/>
      <c r="BM48" s="36"/>
      <c r="BN48" s="7"/>
      <c r="BO48" s="36"/>
      <c r="BP48" s="14"/>
      <c r="BQ48" s="14"/>
      <c r="BR48" s="7"/>
      <c r="BS48" s="7"/>
      <c r="BT48" s="7"/>
      <c r="BU48" s="15"/>
      <c r="BV48" s="15"/>
      <c r="BW48" s="300"/>
      <c r="BX48" s="300"/>
      <c r="BY48" s="33"/>
      <c r="BZ48" s="36"/>
    </row>
    <row r="49" spans="1:78" s="1" customFormat="1" ht="31.5" customHeight="1">
      <c r="A49" s="12" t="s">
        <v>7</v>
      </c>
      <c r="B49" s="24" t="s">
        <v>62</v>
      </c>
      <c r="C49" s="24" t="s">
        <v>227</v>
      </c>
      <c r="D49" s="24" t="s">
        <v>13</v>
      </c>
      <c r="E49" s="3">
        <v>255005</v>
      </c>
      <c r="F49" s="9" t="s">
        <v>13</v>
      </c>
      <c r="G49" s="10" t="s">
        <v>13</v>
      </c>
      <c r="H49" s="3">
        <v>4</v>
      </c>
      <c r="I49" s="3">
        <v>36</v>
      </c>
      <c r="J49" s="3">
        <v>1420</v>
      </c>
      <c r="K49" s="3" t="s">
        <v>186</v>
      </c>
      <c r="L49" s="3" t="s">
        <v>189</v>
      </c>
      <c r="M49" s="11" t="s">
        <v>187</v>
      </c>
      <c r="N49" s="11" t="s">
        <v>187</v>
      </c>
      <c r="O49" s="11" t="s">
        <v>193</v>
      </c>
      <c r="P49" s="3" t="s">
        <v>188</v>
      </c>
      <c r="Q49" s="12" t="s">
        <v>110</v>
      </c>
      <c r="R49" s="12" t="s">
        <v>222</v>
      </c>
      <c r="S49" s="12"/>
      <c r="T49" s="12" t="s">
        <v>36</v>
      </c>
      <c r="U49" s="12" t="s">
        <v>13</v>
      </c>
      <c r="V49" s="25" t="s">
        <v>69</v>
      </c>
      <c r="W49" s="34" t="s">
        <v>142</v>
      </c>
      <c r="X49" s="24" t="s">
        <v>134</v>
      </c>
      <c r="Y49" s="110" t="s">
        <v>37</v>
      </c>
      <c r="Z49" s="33">
        <v>2500000</v>
      </c>
      <c r="AA49" s="33"/>
      <c r="AB49" s="7">
        <f>Z49+AA49</f>
        <v>2500000</v>
      </c>
      <c r="AC49" s="33">
        <v>1000000</v>
      </c>
      <c r="AD49" s="33">
        <f>AB49+AC49</f>
        <v>3500000</v>
      </c>
      <c r="AE49" s="33"/>
      <c r="AF49" s="7">
        <f>+AD49+AE49</f>
        <v>3500000</v>
      </c>
      <c r="AG49" s="33"/>
      <c r="AH49" s="33">
        <v>775000</v>
      </c>
      <c r="AI49" s="33">
        <v>0</v>
      </c>
      <c r="AJ49" s="33">
        <v>0</v>
      </c>
      <c r="AK49" s="33"/>
      <c r="AL49" s="7">
        <f>AK49</f>
        <v>0</v>
      </c>
      <c r="AM49" s="33"/>
      <c r="AN49" s="7">
        <f>AM49</f>
        <v>0</v>
      </c>
      <c r="AO49" s="33">
        <v>81590</v>
      </c>
      <c r="AP49" s="33">
        <v>11422.6</v>
      </c>
      <c r="AQ49" s="7">
        <f>AO49+AP49</f>
        <v>93012.6</v>
      </c>
      <c r="AR49" s="7">
        <f>AK49+AM49+AO49</f>
        <v>81590</v>
      </c>
      <c r="AS49" s="7">
        <f>AL49+AN49+AQ49</f>
        <v>93012.6</v>
      </c>
      <c r="AT49" s="33"/>
      <c r="AU49" s="33"/>
      <c r="AV49" s="7">
        <f>AT49+AU49</f>
        <v>0</v>
      </c>
      <c r="AW49" s="33"/>
      <c r="AX49" s="33"/>
      <c r="AY49" s="7">
        <f>AW49+AX49</f>
        <v>0</v>
      </c>
      <c r="AZ49" s="33"/>
      <c r="BA49" s="33"/>
      <c r="BB49" s="7">
        <f>AZ49+BA49</f>
        <v>0</v>
      </c>
      <c r="BC49" s="33"/>
      <c r="BD49" s="7">
        <f>BC49</f>
        <v>0</v>
      </c>
      <c r="BE49" s="33"/>
      <c r="BF49" s="7">
        <f>BE49</f>
        <v>0</v>
      </c>
      <c r="BG49" s="33"/>
      <c r="BH49" s="7">
        <f>BG49</f>
        <v>0</v>
      </c>
      <c r="BI49" s="33"/>
      <c r="BJ49" s="7">
        <f>BI49</f>
        <v>0</v>
      </c>
      <c r="BK49" s="33"/>
      <c r="BL49" s="7">
        <f>BK49</f>
        <v>0</v>
      </c>
      <c r="BM49" s="33"/>
      <c r="BN49" s="7">
        <f>BM49</f>
        <v>0</v>
      </c>
      <c r="BO49" s="33"/>
      <c r="BP49" s="14">
        <f>AK49+AM49+AO49+AT49+AW49+AZ49+BC49+BE49+BG49+BI49+BK49+BM49</f>
        <v>81590</v>
      </c>
      <c r="BQ49" s="14">
        <f>AL49+AN49+AQ49+AV49+AY49+BB49</f>
        <v>93012.6</v>
      </c>
      <c r="BR49" s="7"/>
      <c r="BS49" s="7">
        <f>AD49-BP49</f>
        <v>3418410</v>
      </c>
      <c r="BT49" s="7">
        <f>AD49-BQ49</f>
        <v>3406987.4</v>
      </c>
      <c r="BU49" s="15">
        <f>BP49/AD49</f>
        <v>2.331142857142857E-2</v>
      </c>
      <c r="BV49" s="15">
        <f>BQ49/AD49</f>
        <v>2.6575028571428572E-2</v>
      </c>
      <c r="BW49" s="33"/>
      <c r="BX49" s="33"/>
      <c r="BY49" s="33"/>
      <c r="BZ49" s="36"/>
    </row>
    <row r="50" spans="1:78" s="1" customFormat="1" ht="15" customHeight="1">
      <c r="A50" s="12" t="s">
        <v>7</v>
      </c>
      <c r="B50" s="24" t="s">
        <v>62</v>
      </c>
      <c r="C50" s="24" t="s">
        <v>227</v>
      </c>
      <c r="D50" s="24" t="s">
        <v>13</v>
      </c>
      <c r="E50" s="3">
        <v>255005</v>
      </c>
      <c r="F50" s="9"/>
      <c r="G50" s="10"/>
      <c r="H50" s="3"/>
      <c r="I50" s="3"/>
      <c r="J50" s="3"/>
      <c r="K50" s="11"/>
      <c r="L50" s="11"/>
      <c r="M50" s="11"/>
      <c r="N50" s="11"/>
      <c r="O50" s="11"/>
      <c r="P50" s="11"/>
      <c r="Q50" s="12"/>
      <c r="R50" s="12"/>
      <c r="S50" s="12"/>
      <c r="T50" s="12"/>
      <c r="U50" s="12"/>
      <c r="V50" s="13"/>
      <c r="W50" s="34"/>
      <c r="X50" s="24" t="s">
        <v>480</v>
      </c>
      <c r="Y50" s="110" t="s">
        <v>460</v>
      </c>
      <c r="Z50" s="33"/>
      <c r="AA50" s="33"/>
      <c r="AB50" s="7"/>
      <c r="AC50" s="33"/>
      <c r="AD50" s="33"/>
      <c r="AE50" s="33"/>
      <c r="AF50" s="7"/>
      <c r="AG50" s="33"/>
      <c r="AH50" s="33">
        <v>5000000</v>
      </c>
      <c r="AI50" s="33">
        <v>0</v>
      </c>
      <c r="AJ50" s="33">
        <v>0</v>
      </c>
      <c r="AK50" s="33"/>
      <c r="AL50" s="7"/>
      <c r="AM50" s="33"/>
      <c r="AN50" s="7"/>
      <c r="AO50" s="33"/>
      <c r="AP50" s="33"/>
      <c r="AQ50" s="7"/>
      <c r="AR50" s="7"/>
      <c r="AS50" s="7"/>
      <c r="AT50" s="33"/>
      <c r="AU50" s="33"/>
      <c r="AV50" s="7"/>
      <c r="AW50" s="33"/>
      <c r="AX50" s="33"/>
      <c r="AY50" s="7"/>
      <c r="AZ50" s="33"/>
      <c r="BA50" s="33"/>
      <c r="BB50" s="7"/>
      <c r="BC50" s="33"/>
      <c r="BD50" s="7"/>
      <c r="BE50" s="33"/>
      <c r="BF50" s="7"/>
      <c r="BG50" s="33"/>
      <c r="BH50" s="7"/>
      <c r="BI50" s="33"/>
      <c r="BJ50" s="7"/>
      <c r="BK50" s="33"/>
      <c r="BL50" s="7"/>
      <c r="BM50" s="33"/>
      <c r="BN50" s="7"/>
      <c r="BO50" s="33"/>
      <c r="BP50" s="14"/>
      <c r="BQ50" s="14"/>
      <c r="BR50" s="7"/>
      <c r="BS50" s="7"/>
      <c r="BT50" s="7"/>
      <c r="BU50" s="15"/>
      <c r="BV50" s="15"/>
      <c r="BW50" s="300"/>
      <c r="BX50" s="300"/>
      <c r="BY50" s="33"/>
      <c r="BZ50" s="36"/>
    </row>
    <row r="51" spans="1:78" s="1" customFormat="1" ht="30">
      <c r="A51" s="12" t="s">
        <v>7</v>
      </c>
      <c r="B51" s="24" t="s">
        <v>62</v>
      </c>
      <c r="C51" s="24" t="s">
        <v>227</v>
      </c>
      <c r="D51" s="24"/>
      <c r="E51" s="3">
        <v>255005</v>
      </c>
      <c r="F51" s="9" t="s">
        <v>13</v>
      </c>
      <c r="G51" s="10" t="s">
        <v>13</v>
      </c>
      <c r="H51" s="3">
        <v>4</v>
      </c>
      <c r="I51" s="3">
        <v>35</v>
      </c>
      <c r="J51" s="3">
        <v>1402</v>
      </c>
      <c r="K51" s="3" t="s">
        <v>186</v>
      </c>
      <c r="L51" s="3" t="s">
        <v>189</v>
      </c>
      <c r="M51" s="11" t="s">
        <v>187</v>
      </c>
      <c r="N51" s="11" t="s">
        <v>187</v>
      </c>
      <c r="O51" s="11" t="s">
        <v>193</v>
      </c>
      <c r="P51" s="3" t="s">
        <v>188</v>
      </c>
      <c r="Q51" s="12" t="s">
        <v>110</v>
      </c>
      <c r="R51" s="12" t="s">
        <v>222</v>
      </c>
      <c r="S51" s="12"/>
      <c r="T51" s="12" t="s">
        <v>36</v>
      </c>
      <c r="U51" s="12" t="s">
        <v>13</v>
      </c>
      <c r="V51" s="25" t="s">
        <v>69</v>
      </c>
      <c r="W51" s="111">
        <v>15</v>
      </c>
      <c r="X51" s="24" t="s">
        <v>200</v>
      </c>
      <c r="Y51" s="110" t="s">
        <v>38</v>
      </c>
      <c r="Z51" s="33">
        <v>350000</v>
      </c>
      <c r="AA51" s="33"/>
      <c r="AB51" s="7">
        <f>Z51+AA51</f>
        <v>350000</v>
      </c>
      <c r="AC51" s="33"/>
      <c r="AD51" s="33">
        <f>AB51+AC51</f>
        <v>350000</v>
      </c>
      <c r="AE51" s="33"/>
      <c r="AF51" s="7">
        <f>+AD51+AE51</f>
        <v>350000</v>
      </c>
      <c r="AG51" s="33"/>
      <c r="AH51" s="33">
        <v>700000</v>
      </c>
      <c r="AI51" s="33">
        <v>3300000</v>
      </c>
      <c r="AJ51" s="33">
        <v>10000000</v>
      </c>
      <c r="AK51" s="33"/>
      <c r="AL51" s="7">
        <f>AK51</f>
        <v>0</v>
      </c>
      <c r="AM51" s="33"/>
      <c r="AN51" s="7">
        <f>AM51</f>
        <v>0</v>
      </c>
      <c r="AO51" s="33"/>
      <c r="AP51" s="33"/>
      <c r="AQ51" s="7">
        <f>AO51+AP51</f>
        <v>0</v>
      </c>
      <c r="AR51" s="7">
        <f>AK51+AM51+AO51</f>
        <v>0</v>
      </c>
      <c r="AS51" s="7">
        <f>AL51+AN51+AQ51</f>
        <v>0</v>
      </c>
      <c r="AT51" s="33"/>
      <c r="AU51" s="33"/>
      <c r="AV51" s="7">
        <f>AT51+AU51</f>
        <v>0</v>
      </c>
      <c r="AW51" s="33"/>
      <c r="AX51" s="33"/>
      <c r="AY51" s="7">
        <f>AW51+AX51</f>
        <v>0</v>
      </c>
      <c r="AZ51" s="33"/>
      <c r="BA51" s="33"/>
      <c r="BB51" s="7">
        <f>AZ51+BA51</f>
        <v>0</v>
      </c>
      <c r="BC51" s="33"/>
      <c r="BD51" s="7">
        <f>BC51</f>
        <v>0</v>
      </c>
      <c r="BE51" s="33"/>
      <c r="BF51" s="7">
        <f>BE51</f>
        <v>0</v>
      </c>
      <c r="BG51" s="33"/>
      <c r="BH51" s="7">
        <f>BG51</f>
        <v>0</v>
      </c>
      <c r="BI51" s="33"/>
      <c r="BJ51" s="7">
        <f>BI51</f>
        <v>0</v>
      </c>
      <c r="BK51" s="33"/>
      <c r="BL51" s="7">
        <f>BK51</f>
        <v>0</v>
      </c>
      <c r="BM51" s="33"/>
      <c r="BN51" s="7">
        <f>BM51</f>
        <v>0</v>
      </c>
      <c r="BO51" s="33"/>
      <c r="BP51" s="14">
        <f>AK51+AM51+AO51+AT51+AW51+AZ51+BC51+BE51+BG51+BI51+BK51+BM51</f>
        <v>0</v>
      </c>
      <c r="BQ51" s="14">
        <f>AL51+AN51+AQ51+AV51+AY51+BB51</f>
        <v>0</v>
      </c>
      <c r="BR51" s="7"/>
      <c r="BS51" s="7">
        <f>AD51-BP51</f>
        <v>350000</v>
      </c>
      <c r="BT51" s="7">
        <f>AD51-BQ51</f>
        <v>350000</v>
      </c>
      <c r="BU51" s="15">
        <f>BP51/AD51</f>
        <v>0</v>
      </c>
      <c r="BV51" s="15">
        <f>BQ51/AD51</f>
        <v>0</v>
      </c>
      <c r="BW51" s="300"/>
      <c r="BX51" s="300"/>
      <c r="BY51" s="33"/>
      <c r="BZ51" s="36"/>
    </row>
    <row r="52" spans="1:78" s="1" customFormat="1" ht="15" customHeight="1">
      <c r="A52" s="12" t="s">
        <v>7</v>
      </c>
      <c r="B52" s="24" t="s">
        <v>62</v>
      </c>
      <c r="C52" s="24" t="s">
        <v>227</v>
      </c>
      <c r="D52" s="24"/>
      <c r="E52" s="3">
        <v>255005</v>
      </c>
      <c r="F52" s="9" t="s">
        <v>13</v>
      </c>
      <c r="G52" s="10" t="s">
        <v>13</v>
      </c>
      <c r="H52" s="3">
        <v>4</v>
      </c>
      <c r="I52" s="3">
        <v>35</v>
      </c>
      <c r="J52" s="3">
        <v>1406</v>
      </c>
      <c r="K52" s="3" t="s">
        <v>186</v>
      </c>
      <c r="L52" s="3" t="s">
        <v>189</v>
      </c>
      <c r="M52" s="11" t="s">
        <v>187</v>
      </c>
      <c r="N52" s="11" t="s">
        <v>187</v>
      </c>
      <c r="O52" s="11" t="s">
        <v>193</v>
      </c>
      <c r="P52" s="3" t="s">
        <v>188</v>
      </c>
      <c r="Q52" s="12" t="s">
        <v>110</v>
      </c>
      <c r="R52" s="12" t="s">
        <v>222</v>
      </c>
      <c r="S52" s="12"/>
      <c r="T52" s="12" t="s">
        <v>36</v>
      </c>
      <c r="U52" s="12" t="s">
        <v>13</v>
      </c>
      <c r="V52" s="25" t="s">
        <v>69</v>
      </c>
      <c r="W52" s="34">
        <v>2</v>
      </c>
      <c r="X52" s="24" t="s">
        <v>161</v>
      </c>
      <c r="Y52" s="110" t="s">
        <v>38</v>
      </c>
      <c r="Z52" s="36">
        <v>500000</v>
      </c>
      <c r="AA52" s="36"/>
      <c r="AB52" s="7">
        <f t="shared" ref="AB52:AB60" si="0">Z52+AA52</f>
        <v>500000</v>
      </c>
      <c r="AC52" s="33"/>
      <c r="AD52" s="33">
        <f>AB52+AC52</f>
        <v>500000</v>
      </c>
      <c r="AE52" s="33"/>
      <c r="AF52" s="7">
        <f>+AD52+AE52</f>
        <v>500000</v>
      </c>
      <c r="AG52" s="33"/>
      <c r="AH52" s="36">
        <v>2000000</v>
      </c>
      <c r="AI52" s="36">
        <v>2000000</v>
      </c>
      <c r="AJ52" s="33">
        <v>10000000</v>
      </c>
      <c r="AK52" s="36"/>
      <c r="AL52" s="7">
        <f t="shared" ref="AL52:AL60" si="1">AK52</f>
        <v>0</v>
      </c>
      <c r="AM52" s="36"/>
      <c r="AN52" s="7">
        <f t="shared" ref="AN52:AN60" si="2">AM52</f>
        <v>0</v>
      </c>
      <c r="AO52" s="36"/>
      <c r="AP52" s="36"/>
      <c r="AQ52" s="7">
        <f t="shared" ref="AQ52:AQ60" si="3">AO52+AP52</f>
        <v>0</v>
      </c>
      <c r="AR52" s="7">
        <f t="shared" ref="AR52:AR60" si="4">AK52+AM52+AO52</f>
        <v>0</v>
      </c>
      <c r="AS52" s="7">
        <f t="shared" ref="AS52:AS60" si="5">AL52+AN52+AQ52</f>
        <v>0</v>
      </c>
      <c r="AT52" s="36">
        <v>3707.64</v>
      </c>
      <c r="AU52" s="36"/>
      <c r="AV52" s="7">
        <f t="shared" ref="AV52:AV60" si="6">AT52+AU52</f>
        <v>3707.64</v>
      </c>
      <c r="AW52" s="36">
        <v>-3707.64</v>
      </c>
      <c r="AX52" s="36"/>
      <c r="AY52" s="7">
        <f t="shared" ref="AY52:AY60" si="7">AW52+AX52</f>
        <v>-3707.64</v>
      </c>
      <c r="AZ52" s="36"/>
      <c r="BA52" s="36"/>
      <c r="BB52" s="7">
        <f>AZ52+BA52</f>
        <v>0</v>
      </c>
      <c r="BC52" s="36"/>
      <c r="BD52" s="7">
        <f t="shared" ref="BD52:BD60" si="8">BC52</f>
        <v>0</v>
      </c>
      <c r="BE52" s="36"/>
      <c r="BF52" s="7">
        <f t="shared" ref="BF52:BF60" si="9">BE52</f>
        <v>0</v>
      </c>
      <c r="BG52" s="36"/>
      <c r="BH52" s="7">
        <f t="shared" ref="BH52:BH60" si="10">BG52</f>
        <v>0</v>
      </c>
      <c r="BI52" s="36"/>
      <c r="BJ52" s="7">
        <f t="shared" ref="BJ52:BJ60" si="11">BI52</f>
        <v>0</v>
      </c>
      <c r="BK52" s="36"/>
      <c r="BL52" s="7">
        <f t="shared" ref="BL52:BL60" si="12">BK52</f>
        <v>0</v>
      </c>
      <c r="BM52" s="36"/>
      <c r="BN52" s="7">
        <f t="shared" ref="BN52:BN60" si="13">BM52</f>
        <v>0</v>
      </c>
      <c r="BO52" s="36"/>
      <c r="BP52" s="14">
        <f t="shared" ref="BP52:BP60" si="14">AK52+AM52+AO52+AT52+AW52+AZ52+BC52+BE52+BG52+BI52+BK52+BM52</f>
        <v>0</v>
      </c>
      <c r="BQ52" s="14">
        <f>AL52+AN52+AQ52+AV52+AY52+BB52</f>
        <v>0</v>
      </c>
      <c r="BR52" s="7"/>
      <c r="BS52" s="7">
        <f>AD52-BP52</f>
        <v>500000</v>
      </c>
      <c r="BT52" s="7">
        <f>AD52-BQ52</f>
        <v>500000</v>
      </c>
      <c r="BU52" s="15">
        <f>BP52/AD52</f>
        <v>0</v>
      </c>
      <c r="BV52" s="15">
        <f>BQ52/AD52</f>
        <v>0</v>
      </c>
      <c r="BW52" s="300"/>
      <c r="BX52" s="300"/>
      <c r="BY52" s="33"/>
      <c r="BZ52" s="36"/>
    </row>
    <row r="53" spans="1:78" s="1" customFormat="1" ht="15" customHeight="1">
      <c r="A53" s="12" t="s">
        <v>7</v>
      </c>
      <c r="B53" s="24" t="s">
        <v>62</v>
      </c>
      <c r="C53" s="24" t="s">
        <v>227</v>
      </c>
      <c r="D53" s="24"/>
      <c r="E53" s="3">
        <v>255005</v>
      </c>
      <c r="F53" s="9" t="s">
        <v>13</v>
      </c>
      <c r="G53" s="10" t="s">
        <v>13</v>
      </c>
      <c r="H53" s="3">
        <v>4</v>
      </c>
      <c r="I53" s="3">
        <v>35</v>
      </c>
      <c r="J53" s="3">
        <v>1407</v>
      </c>
      <c r="K53" s="3" t="s">
        <v>186</v>
      </c>
      <c r="L53" s="3" t="s">
        <v>189</v>
      </c>
      <c r="M53" s="11" t="s">
        <v>187</v>
      </c>
      <c r="N53" s="11" t="s">
        <v>187</v>
      </c>
      <c r="O53" s="11" t="s">
        <v>193</v>
      </c>
      <c r="P53" s="3" t="s">
        <v>188</v>
      </c>
      <c r="Q53" s="12" t="s">
        <v>110</v>
      </c>
      <c r="R53" s="12" t="s">
        <v>222</v>
      </c>
      <c r="S53" s="12"/>
      <c r="T53" s="12" t="s">
        <v>36</v>
      </c>
      <c r="U53" s="12" t="s">
        <v>13</v>
      </c>
      <c r="V53" s="25" t="s">
        <v>69</v>
      </c>
      <c r="W53" s="34">
        <v>2</v>
      </c>
      <c r="X53" s="24" t="s">
        <v>162</v>
      </c>
      <c r="Y53" s="110" t="s">
        <v>38</v>
      </c>
      <c r="Z53" s="36">
        <v>500000</v>
      </c>
      <c r="AA53" s="36"/>
      <c r="AB53" s="7">
        <f t="shared" si="0"/>
        <v>500000</v>
      </c>
      <c r="AC53" s="33"/>
      <c r="AD53" s="33">
        <f>AB53+AC53</f>
        <v>500000</v>
      </c>
      <c r="AE53" s="33"/>
      <c r="AF53" s="7">
        <f>+AD53+AE53</f>
        <v>500000</v>
      </c>
      <c r="AG53" s="33"/>
      <c r="AH53" s="36">
        <v>2000000</v>
      </c>
      <c r="AI53" s="36">
        <v>2000000</v>
      </c>
      <c r="AJ53" s="33">
        <v>10000000</v>
      </c>
      <c r="AK53" s="36"/>
      <c r="AL53" s="7">
        <f t="shared" si="1"/>
        <v>0</v>
      </c>
      <c r="AM53" s="36"/>
      <c r="AN53" s="7">
        <f t="shared" si="2"/>
        <v>0</v>
      </c>
      <c r="AO53" s="36"/>
      <c r="AP53" s="36"/>
      <c r="AQ53" s="7">
        <f t="shared" si="3"/>
        <v>0</v>
      </c>
      <c r="AR53" s="7">
        <f t="shared" si="4"/>
        <v>0</v>
      </c>
      <c r="AS53" s="7">
        <f t="shared" si="5"/>
        <v>0</v>
      </c>
      <c r="AT53" s="36"/>
      <c r="AU53" s="36"/>
      <c r="AV53" s="7">
        <f t="shared" si="6"/>
        <v>0</v>
      </c>
      <c r="AW53" s="36"/>
      <c r="AX53" s="36"/>
      <c r="AY53" s="7">
        <f t="shared" si="7"/>
        <v>0</v>
      </c>
      <c r="AZ53" s="36"/>
      <c r="BA53" s="36"/>
      <c r="BB53" s="7">
        <f>AZ53+BA53</f>
        <v>0</v>
      </c>
      <c r="BC53" s="36"/>
      <c r="BD53" s="7">
        <f t="shared" si="8"/>
        <v>0</v>
      </c>
      <c r="BE53" s="36"/>
      <c r="BF53" s="7">
        <f t="shared" si="9"/>
        <v>0</v>
      </c>
      <c r="BG53" s="36"/>
      <c r="BH53" s="7">
        <f t="shared" si="10"/>
        <v>0</v>
      </c>
      <c r="BI53" s="36"/>
      <c r="BJ53" s="7">
        <f t="shared" si="11"/>
        <v>0</v>
      </c>
      <c r="BK53" s="36"/>
      <c r="BL53" s="7">
        <f t="shared" si="12"/>
        <v>0</v>
      </c>
      <c r="BM53" s="36"/>
      <c r="BN53" s="7">
        <f t="shared" si="13"/>
        <v>0</v>
      </c>
      <c r="BO53" s="36"/>
      <c r="BP53" s="14">
        <f t="shared" si="14"/>
        <v>0</v>
      </c>
      <c r="BQ53" s="14">
        <f>AL53+AN53+AQ53+AV53+AY53+BB53</f>
        <v>0</v>
      </c>
      <c r="BR53" s="7"/>
      <c r="BS53" s="7">
        <f>AD53-BP53</f>
        <v>500000</v>
      </c>
      <c r="BT53" s="7">
        <f>AD53-BQ53</f>
        <v>500000</v>
      </c>
      <c r="BU53" s="15">
        <f>BP53/AD53</f>
        <v>0</v>
      </c>
      <c r="BV53" s="15">
        <f>BQ53/AD53</f>
        <v>0</v>
      </c>
      <c r="BW53" s="300"/>
      <c r="BX53" s="300"/>
      <c r="BY53" s="33"/>
      <c r="BZ53" s="36"/>
    </row>
    <row r="54" spans="1:78" s="1" customFormat="1" ht="15" customHeight="1">
      <c r="A54" s="12" t="s">
        <v>7</v>
      </c>
      <c r="B54" s="24" t="s">
        <v>62</v>
      </c>
      <c r="C54" s="24" t="s">
        <v>227</v>
      </c>
      <c r="D54" s="24"/>
      <c r="E54" s="3">
        <v>255005</v>
      </c>
      <c r="F54" s="9"/>
      <c r="G54" s="10"/>
      <c r="H54" s="3"/>
      <c r="I54" s="3"/>
      <c r="J54" s="3"/>
      <c r="K54" s="3"/>
      <c r="L54" s="3"/>
      <c r="M54" s="11"/>
      <c r="N54" s="11"/>
      <c r="O54" s="11"/>
      <c r="P54" s="3"/>
      <c r="Q54" s="12"/>
      <c r="R54" s="12"/>
      <c r="S54" s="12"/>
      <c r="T54" s="12"/>
      <c r="U54" s="12"/>
      <c r="V54" s="25"/>
      <c r="W54" s="34"/>
      <c r="X54" s="10" t="s">
        <v>472</v>
      </c>
      <c r="Y54" s="110" t="s">
        <v>460</v>
      </c>
      <c r="Z54" s="36"/>
      <c r="AA54" s="36"/>
      <c r="AB54" s="7"/>
      <c r="AC54" s="33"/>
      <c r="AD54" s="33"/>
      <c r="AE54" s="33"/>
      <c r="AF54" s="7"/>
      <c r="AG54" s="33"/>
      <c r="AH54" s="36">
        <v>0</v>
      </c>
      <c r="AI54" s="36">
        <v>300000</v>
      </c>
      <c r="AJ54" s="33">
        <v>30000000</v>
      </c>
      <c r="AK54" s="36"/>
      <c r="AL54" s="7"/>
      <c r="AM54" s="36"/>
      <c r="AN54" s="7"/>
      <c r="AO54" s="36"/>
      <c r="AP54" s="36"/>
      <c r="AQ54" s="7"/>
      <c r="AR54" s="7"/>
      <c r="AS54" s="7"/>
      <c r="AT54" s="36"/>
      <c r="AU54" s="36"/>
      <c r="AV54" s="7"/>
      <c r="AW54" s="36"/>
      <c r="AX54" s="36"/>
      <c r="AY54" s="7"/>
      <c r="AZ54" s="36"/>
      <c r="BA54" s="36"/>
      <c r="BB54" s="7"/>
      <c r="BC54" s="36"/>
      <c r="BD54" s="7"/>
      <c r="BE54" s="36"/>
      <c r="BF54" s="7"/>
      <c r="BG54" s="36"/>
      <c r="BH54" s="7"/>
      <c r="BI54" s="36"/>
      <c r="BJ54" s="7"/>
      <c r="BK54" s="36"/>
      <c r="BL54" s="7"/>
      <c r="BM54" s="36"/>
      <c r="BN54" s="7"/>
      <c r="BO54" s="36"/>
      <c r="BP54" s="14"/>
      <c r="BQ54" s="14"/>
      <c r="BR54" s="7"/>
      <c r="BS54" s="7"/>
      <c r="BT54" s="7"/>
      <c r="BU54" s="15"/>
      <c r="BV54" s="15"/>
      <c r="BW54" s="300"/>
      <c r="BX54" s="300"/>
      <c r="BY54" s="33"/>
      <c r="BZ54" s="36"/>
    </row>
    <row r="55" spans="1:78" s="1" customFormat="1" ht="15" customHeight="1">
      <c r="A55" s="12" t="s">
        <v>7</v>
      </c>
      <c r="B55" s="24" t="s">
        <v>62</v>
      </c>
      <c r="C55" s="24" t="s">
        <v>227</v>
      </c>
      <c r="D55" s="24"/>
      <c r="E55" s="3">
        <v>255005</v>
      </c>
      <c r="F55" s="9"/>
      <c r="G55" s="10"/>
      <c r="H55" s="3"/>
      <c r="I55" s="3"/>
      <c r="J55" s="3"/>
      <c r="K55" s="3"/>
      <c r="L55" s="3"/>
      <c r="M55" s="11"/>
      <c r="N55" s="11"/>
      <c r="O55" s="11"/>
      <c r="P55" s="3"/>
      <c r="Q55" s="12"/>
      <c r="R55" s="12"/>
      <c r="S55" s="12"/>
      <c r="T55" s="12"/>
      <c r="U55" s="12"/>
      <c r="V55" s="25"/>
      <c r="W55" s="34"/>
      <c r="X55" s="10" t="s">
        <v>473</v>
      </c>
      <c r="Y55" s="110" t="s">
        <v>460</v>
      </c>
      <c r="Z55" s="36"/>
      <c r="AA55" s="36"/>
      <c r="AB55" s="7"/>
      <c r="AC55" s="33"/>
      <c r="AD55" s="33"/>
      <c r="AE55" s="33"/>
      <c r="AF55" s="7"/>
      <c r="AG55" s="33"/>
      <c r="AH55" s="36">
        <v>0</v>
      </c>
      <c r="AI55" s="36">
        <v>300000</v>
      </c>
      <c r="AJ55" s="33">
        <v>30000000</v>
      </c>
      <c r="AK55" s="36"/>
      <c r="AL55" s="7"/>
      <c r="AM55" s="36"/>
      <c r="AN55" s="7"/>
      <c r="AO55" s="36"/>
      <c r="AP55" s="36"/>
      <c r="AQ55" s="7"/>
      <c r="AR55" s="7"/>
      <c r="AS55" s="7"/>
      <c r="AT55" s="36"/>
      <c r="AU55" s="36"/>
      <c r="AV55" s="7"/>
      <c r="AW55" s="36"/>
      <c r="AX55" s="36"/>
      <c r="AY55" s="7"/>
      <c r="AZ55" s="36"/>
      <c r="BA55" s="36"/>
      <c r="BB55" s="7"/>
      <c r="BC55" s="36"/>
      <c r="BD55" s="7"/>
      <c r="BE55" s="36"/>
      <c r="BF55" s="7"/>
      <c r="BG55" s="36"/>
      <c r="BH55" s="7"/>
      <c r="BI55" s="36"/>
      <c r="BJ55" s="7"/>
      <c r="BK55" s="36"/>
      <c r="BL55" s="7"/>
      <c r="BM55" s="36"/>
      <c r="BN55" s="7"/>
      <c r="BO55" s="36"/>
      <c r="BP55" s="14"/>
      <c r="BQ55" s="14"/>
      <c r="BR55" s="7"/>
      <c r="BS55" s="7"/>
      <c r="BT55" s="7"/>
      <c r="BU55" s="15"/>
      <c r="BV55" s="15"/>
      <c r="BW55" s="300"/>
      <c r="BX55" s="300"/>
      <c r="BY55" s="33"/>
      <c r="BZ55" s="36"/>
    </row>
    <row r="56" spans="1:78" s="1" customFormat="1" ht="17.100000000000001" customHeight="1" thickBot="1">
      <c r="A56" s="12"/>
      <c r="B56" s="24"/>
      <c r="C56" s="24"/>
      <c r="D56" s="24"/>
      <c r="E56" s="3"/>
      <c r="F56" s="9"/>
      <c r="G56" s="10"/>
      <c r="H56" s="3"/>
      <c r="I56" s="3"/>
      <c r="J56" s="3"/>
      <c r="K56" s="3"/>
      <c r="L56" s="3"/>
      <c r="M56" s="11"/>
      <c r="N56" s="11"/>
      <c r="O56" s="11"/>
      <c r="P56" s="3"/>
      <c r="Q56" s="12"/>
      <c r="R56" s="12"/>
      <c r="S56" s="12"/>
      <c r="T56" s="12"/>
      <c r="U56" s="12"/>
      <c r="V56" s="25"/>
      <c r="W56" s="34"/>
      <c r="X56" s="10"/>
      <c r="Y56" s="110"/>
      <c r="Z56" s="36"/>
      <c r="AA56" s="36"/>
      <c r="AB56" s="7"/>
      <c r="AC56" s="33"/>
      <c r="AD56" s="33"/>
      <c r="AE56" s="33"/>
      <c r="AF56" s="7"/>
      <c r="AG56" s="33"/>
      <c r="AH56" s="324">
        <f>SUM(AH48:AH55)</f>
        <v>15475000</v>
      </c>
      <c r="AI56" s="324">
        <f>SUM(AI48:AI55)</f>
        <v>7900000</v>
      </c>
      <c r="AJ56" s="324">
        <f>SUM(AJ48:AJ55)</f>
        <v>90000000</v>
      </c>
      <c r="AK56" s="36"/>
      <c r="AL56" s="7"/>
      <c r="AM56" s="36"/>
      <c r="AN56" s="7"/>
      <c r="AO56" s="36"/>
      <c r="AP56" s="36"/>
      <c r="AQ56" s="7"/>
      <c r="AR56" s="7"/>
      <c r="AS56" s="7"/>
      <c r="AT56" s="36"/>
      <c r="AU56" s="36"/>
      <c r="AV56" s="7"/>
      <c r="AW56" s="36"/>
      <c r="AX56" s="36"/>
      <c r="AY56" s="7"/>
      <c r="AZ56" s="36"/>
      <c r="BA56" s="36"/>
      <c r="BB56" s="7"/>
      <c r="BC56" s="36"/>
      <c r="BD56" s="7"/>
      <c r="BE56" s="36"/>
      <c r="BF56" s="7"/>
      <c r="BG56" s="36"/>
      <c r="BH56" s="7"/>
      <c r="BI56" s="36"/>
      <c r="BJ56" s="7"/>
      <c r="BK56" s="36"/>
      <c r="BL56" s="7"/>
      <c r="BM56" s="36"/>
      <c r="BN56" s="7"/>
      <c r="BO56" s="36"/>
      <c r="BP56" s="14"/>
      <c r="BQ56" s="14"/>
      <c r="BR56" s="7"/>
      <c r="BS56" s="7"/>
      <c r="BT56" s="7"/>
      <c r="BU56" s="15"/>
      <c r="BV56" s="15"/>
      <c r="BW56" s="300"/>
      <c r="BX56" s="300"/>
      <c r="BY56" s="33"/>
      <c r="BZ56" s="36"/>
    </row>
    <row r="57" spans="1:78" s="1" customFormat="1" ht="17.100000000000001" customHeight="1">
      <c r="A57" s="12"/>
      <c r="B57" s="24"/>
      <c r="C57" s="24"/>
      <c r="D57" s="24"/>
      <c r="E57" s="3"/>
      <c r="F57" s="9"/>
      <c r="G57" s="10"/>
      <c r="H57" s="3"/>
      <c r="I57" s="3"/>
      <c r="J57" s="3"/>
      <c r="K57" s="3"/>
      <c r="L57" s="3"/>
      <c r="M57" s="11"/>
      <c r="N57" s="11"/>
      <c r="O57" s="11"/>
      <c r="P57" s="3"/>
      <c r="Q57" s="12"/>
      <c r="R57" s="12"/>
      <c r="S57" s="12"/>
      <c r="T57" s="12"/>
      <c r="U57" s="12"/>
      <c r="V57" s="25"/>
      <c r="W57" s="34"/>
      <c r="X57" s="10"/>
      <c r="Y57" s="110"/>
      <c r="Z57" s="36"/>
      <c r="AA57" s="36"/>
      <c r="AB57" s="7"/>
      <c r="AC57" s="33"/>
      <c r="AD57" s="33"/>
      <c r="AE57" s="33"/>
      <c r="AF57" s="7"/>
      <c r="AG57" s="33"/>
      <c r="AH57" s="322"/>
      <c r="AI57" s="322"/>
      <c r="AJ57" s="322"/>
      <c r="AK57" s="36"/>
      <c r="AL57" s="7"/>
      <c r="AM57" s="36"/>
      <c r="AN57" s="7"/>
      <c r="AO57" s="36"/>
      <c r="AP57" s="36"/>
      <c r="AQ57" s="7"/>
      <c r="AR57" s="7"/>
      <c r="AS57" s="7"/>
      <c r="AT57" s="36"/>
      <c r="AU57" s="36"/>
      <c r="AV57" s="7"/>
      <c r="AW57" s="36"/>
      <c r="AX57" s="36"/>
      <c r="AY57" s="7"/>
      <c r="AZ57" s="36"/>
      <c r="BA57" s="36"/>
      <c r="BB57" s="7"/>
      <c r="BC57" s="36"/>
      <c r="BD57" s="7"/>
      <c r="BE57" s="36"/>
      <c r="BF57" s="7"/>
      <c r="BG57" s="36"/>
      <c r="BH57" s="7"/>
      <c r="BI57" s="36"/>
      <c r="BJ57" s="7"/>
      <c r="BK57" s="36"/>
      <c r="BL57" s="7"/>
      <c r="BM57" s="36"/>
      <c r="BN57" s="7"/>
      <c r="BO57" s="36"/>
      <c r="BP57" s="14"/>
      <c r="BQ57" s="14"/>
      <c r="BR57" s="7"/>
      <c r="BS57" s="7"/>
      <c r="BT57" s="7"/>
      <c r="BU57" s="15"/>
      <c r="BV57" s="15"/>
      <c r="BW57" s="300"/>
      <c r="BX57" s="300"/>
      <c r="BY57" s="33"/>
      <c r="BZ57" s="36"/>
    </row>
    <row r="58" spans="1:78" s="1" customFormat="1" ht="15" customHeight="1">
      <c r="A58" s="12" t="s">
        <v>7</v>
      </c>
      <c r="B58" s="24" t="s">
        <v>62</v>
      </c>
      <c r="C58" s="24" t="s">
        <v>227</v>
      </c>
      <c r="D58" s="24" t="s">
        <v>13</v>
      </c>
      <c r="E58" s="3">
        <v>255005</v>
      </c>
      <c r="F58" s="9"/>
      <c r="G58" s="10"/>
      <c r="H58" s="3"/>
      <c r="I58" s="3"/>
      <c r="J58" s="3"/>
      <c r="K58" s="3"/>
      <c r="L58" s="3"/>
      <c r="M58" s="11"/>
      <c r="N58" s="11"/>
      <c r="O58" s="11"/>
      <c r="P58" s="3"/>
      <c r="Q58" s="12"/>
      <c r="R58" s="12"/>
      <c r="S58" s="12"/>
      <c r="T58" s="12"/>
      <c r="U58" s="12"/>
      <c r="V58" s="25"/>
      <c r="W58" s="34"/>
      <c r="X58" s="10" t="s">
        <v>474</v>
      </c>
      <c r="Y58" s="110" t="s">
        <v>460</v>
      </c>
      <c r="Z58" s="36"/>
      <c r="AA58" s="36"/>
      <c r="AB58" s="7"/>
      <c r="AC58" s="33"/>
      <c r="AD58" s="33"/>
      <c r="AE58" s="33"/>
      <c r="AF58" s="7"/>
      <c r="AG58" s="33"/>
      <c r="AH58" s="36">
        <v>3109500</v>
      </c>
      <c r="AI58" s="36">
        <v>2551000</v>
      </c>
      <c r="AJ58" s="33">
        <v>65000000</v>
      </c>
      <c r="AK58" s="36"/>
      <c r="AL58" s="7"/>
      <c r="AM58" s="36"/>
      <c r="AN58" s="7"/>
      <c r="AO58" s="36"/>
      <c r="AP58" s="36"/>
      <c r="AQ58" s="7"/>
      <c r="AR58" s="7"/>
      <c r="AS58" s="7"/>
      <c r="AT58" s="36"/>
      <c r="AU58" s="36"/>
      <c r="AV58" s="7"/>
      <c r="AW58" s="36"/>
      <c r="AX58" s="36"/>
      <c r="AY58" s="7"/>
      <c r="AZ58" s="36"/>
      <c r="BA58" s="36"/>
      <c r="BB58" s="7"/>
      <c r="BC58" s="36"/>
      <c r="BD58" s="7"/>
      <c r="BE58" s="36"/>
      <c r="BF58" s="7"/>
      <c r="BG58" s="36"/>
      <c r="BH58" s="7"/>
      <c r="BI58" s="36"/>
      <c r="BJ58" s="7"/>
      <c r="BK58" s="36"/>
      <c r="BL58" s="7"/>
      <c r="BM58" s="36"/>
      <c r="BN58" s="7"/>
      <c r="BO58" s="36"/>
      <c r="BP58" s="14"/>
      <c r="BQ58" s="14"/>
      <c r="BR58" s="7"/>
      <c r="BS58" s="7"/>
      <c r="BT58" s="7"/>
      <c r="BU58" s="15"/>
      <c r="BV58" s="15"/>
      <c r="BW58" s="300"/>
      <c r="BX58" s="300"/>
      <c r="BY58" s="33"/>
      <c r="BZ58" s="36"/>
    </row>
    <row r="59" spans="1:78" s="1" customFormat="1" ht="15" customHeight="1">
      <c r="A59" s="12" t="s">
        <v>7</v>
      </c>
      <c r="B59" s="24" t="s">
        <v>62</v>
      </c>
      <c r="C59" s="24" t="s">
        <v>227</v>
      </c>
      <c r="D59" s="24" t="s">
        <v>13</v>
      </c>
      <c r="E59" s="3">
        <v>255005</v>
      </c>
      <c r="F59" s="9" t="s">
        <v>13</v>
      </c>
      <c r="G59" s="10" t="s">
        <v>13</v>
      </c>
      <c r="H59" s="3">
        <v>4</v>
      </c>
      <c r="I59" s="3">
        <v>36</v>
      </c>
      <c r="J59" s="3">
        <v>1402</v>
      </c>
      <c r="K59" s="3" t="s">
        <v>186</v>
      </c>
      <c r="L59" s="3" t="s">
        <v>189</v>
      </c>
      <c r="M59" s="11" t="s">
        <v>187</v>
      </c>
      <c r="N59" s="11" t="s">
        <v>187</v>
      </c>
      <c r="O59" s="11" t="s">
        <v>193</v>
      </c>
      <c r="P59" s="3" t="s">
        <v>188</v>
      </c>
      <c r="Q59" s="12" t="s">
        <v>110</v>
      </c>
      <c r="R59" s="12" t="s">
        <v>222</v>
      </c>
      <c r="S59" s="12"/>
      <c r="T59" s="12" t="s">
        <v>36</v>
      </c>
      <c r="U59" s="12" t="s">
        <v>13</v>
      </c>
      <c r="V59" s="25" t="s">
        <v>69</v>
      </c>
      <c r="W59" s="111">
        <v>23</v>
      </c>
      <c r="X59" s="9" t="s">
        <v>152</v>
      </c>
      <c r="Y59" s="110" t="s">
        <v>37</v>
      </c>
      <c r="Z59" s="33">
        <v>3000000</v>
      </c>
      <c r="AA59" s="33"/>
      <c r="AB59" s="7">
        <f t="shared" si="0"/>
        <v>3000000</v>
      </c>
      <c r="AC59" s="33"/>
      <c r="AD59" s="33">
        <f>AB59+AC59</f>
        <v>3000000</v>
      </c>
      <c r="AE59" s="33">
        <v>-1000000</v>
      </c>
      <c r="AF59" s="7">
        <f>+AD59+AE59</f>
        <v>2000000</v>
      </c>
      <c r="AG59" s="33"/>
      <c r="AH59" s="33">
        <v>10000000</v>
      </c>
      <c r="AI59" s="33">
        <v>13500000</v>
      </c>
      <c r="AJ59" s="33">
        <v>13500000</v>
      </c>
      <c r="AK59" s="33"/>
      <c r="AL59" s="7">
        <f t="shared" si="1"/>
        <v>0</v>
      </c>
      <c r="AM59" s="33"/>
      <c r="AN59" s="7">
        <f t="shared" si="2"/>
        <v>0</v>
      </c>
      <c r="AO59" s="33"/>
      <c r="AP59" s="33">
        <v>0</v>
      </c>
      <c r="AQ59" s="7">
        <f t="shared" si="3"/>
        <v>0</v>
      </c>
      <c r="AR59" s="7">
        <f t="shared" si="4"/>
        <v>0</v>
      </c>
      <c r="AS59" s="7">
        <f t="shared" si="5"/>
        <v>0</v>
      </c>
      <c r="AT59" s="33"/>
      <c r="AU59" s="33"/>
      <c r="AV59" s="7">
        <f t="shared" si="6"/>
        <v>0</v>
      </c>
      <c r="AW59" s="33"/>
      <c r="AX59" s="33">
        <v>382.04</v>
      </c>
      <c r="AY59" s="7">
        <f t="shared" si="7"/>
        <v>382.04</v>
      </c>
      <c r="AZ59" s="33"/>
      <c r="BA59" s="33"/>
      <c r="BB59" s="7">
        <f>AZ59+BA59</f>
        <v>0</v>
      </c>
      <c r="BC59" s="33"/>
      <c r="BD59" s="7">
        <f t="shared" si="8"/>
        <v>0</v>
      </c>
      <c r="BE59" s="33"/>
      <c r="BF59" s="7">
        <f t="shared" si="9"/>
        <v>0</v>
      </c>
      <c r="BG59" s="33"/>
      <c r="BH59" s="7">
        <f t="shared" si="10"/>
        <v>0</v>
      </c>
      <c r="BI59" s="33"/>
      <c r="BJ59" s="7">
        <f t="shared" si="11"/>
        <v>0</v>
      </c>
      <c r="BK59" s="33"/>
      <c r="BL59" s="7">
        <f t="shared" si="12"/>
        <v>0</v>
      </c>
      <c r="BM59" s="33"/>
      <c r="BN59" s="7">
        <f t="shared" si="13"/>
        <v>0</v>
      </c>
      <c r="BO59" s="33"/>
      <c r="BP59" s="14">
        <f t="shared" si="14"/>
        <v>0</v>
      </c>
      <c r="BQ59" s="14">
        <f>AL59+AN59+AQ59+AV59+AY59+BB59</f>
        <v>382.04</v>
      </c>
      <c r="BR59" s="7"/>
      <c r="BS59" s="7">
        <f>AD59-BP59</f>
        <v>3000000</v>
      </c>
      <c r="BT59" s="7">
        <f>AD59-BQ59</f>
        <v>2999617.96</v>
      </c>
      <c r="BU59" s="15">
        <f>BP59/AD59</f>
        <v>0</v>
      </c>
      <c r="BV59" s="15">
        <f>BQ59/AD59</f>
        <v>1.2734666666666666E-4</v>
      </c>
      <c r="BW59" s="33">
        <v>16500000</v>
      </c>
      <c r="BX59" s="33"/>
      <c r="BY59" s="33"/>
      <c r="BZ59" s="36"/>
    </row>
    <row r="60" spans="1:78" s="1" customFormat="1" ht="15" customHeight="1">
      <c r="A60" s="12" t="s">
        <v>7</v>
      </c>
      <c r="B60" s="24" t="s">
        <v>62</v>
      </c>
      <c r="C60" s="24" t="s">
        <v>227</v>
      </c>
      <c r="D60" s="24"/>
      <c r="E60" s="3">
        <v>255005</v>
      </c>
      <c r="F60" s="9" t="s">
        <v>13</v>
      </c>
      <c r="G60" s="10" t="s">
        <v>13</v>
      </c>
      <c r="H60" s="3">
        <v>4</v>
      </c>
      <c r="I60" s="3">
        <v>35</v>
      </c>
      <c r="J60" s="3">
        <v>1410</v>
      </c>
      <c r="K60" s="3" t="s">
        <v>186</v>
      </c>
      <c r="L60" s="3" t="s">
        <v>189</v>
      </c>
      <c r="M60" s="11" t="s">
        <v>187</v>
      </c>
      <c r="N60" s="11" t="s">
        <v>187</v>
      </c>
      <c r="O60" s="11" t="s">
        <v>193</v>
      </c>
      <c r="P60" s="3" t="s">
        <v>188</v>
      </c>
      <c r="Q60" s="12" t="s">
        <v>110</v>
      </c>
      <c r="R60" s="12" t="s">
        <v>222</v>
      </c>
      <c r="S60" s="12"/>
      <c r="T60" s="12" t="s">
        <v>36</v>
      </c>
      <c r="U60" s="12" t="s">
        <v>13</v>
      </c>
      <c r="V60" s="25" t="s">
        <v>69</v>
      </c>
      <c r="W60" s="34"/>
      <c r="X60" s="24" t="s">
        <v>169</v>
      </c>
      <c r="Y60" s="110" t="s">
        <v>38</v>
      </c>
      <c r="Z60" s="33">
        <v>0</v>
      </c>
      <c r="AA60" s="33"/>
      <c r="AB60" s="7">
        <f t="shared" si="0"/>
        <v>0</v>
      </c>
      <c r="AC60" s="33"/>
      <c r="AD60" s="33">
        <f>AB60+AC60</f>
        <v>0</v>
      </c>
      <c r="AE60" s="33"/>
      <c r="AF60" s="7">
        <f>+AD60+AE60</f>
        <v>0</v>
      </c>
      <c r="AG60" s="33"/>
      <c r="AH60" s="33">
        <v>0</v>
      </c>
      <c r="AI60" s="33">
        <v>8500000</v>
      </c>
      <c r="AJ60" s="33">
        <v>0</v>
      </c>
      <c r="AK60" s="33"/>
      <c r="AL60" s="7">
        <f t="shared" si="1"/>
        <v>0</v>
      </c>
      <c r="AM60" s="33"/>
      <c r="AN60" s="7">
        <f t="shared" si="2"/>
        <v>0</v>
      </c>
      <c r="AO60" s="33"/>
      <c r="AP60" s="33"/>
      <c r="AQ60" s="7">
        <f t="shared" si="3"/>
        <v>0</v>
      </c>
      <c r="AR60" s="7">
        <f t="shared" si="4"/>
        <v>0</v>
      </c>
      <c r="AS60" s="7">
        <f t="shared" si="5"/>
        <v>0</v>
      </c>
      <c r="AT60" s="33"/>
      <c r="AU60" s="33"/>
      <c r="AV60" s="7">
        <f t="shared" si="6"/>
        <v>0</v>
      </c>
      <c r="AW60" s="33"/>
      <c r="AX60" s="33"/>
      <c r="AY60" s="7">
        <f t="shared" si="7"/>
        <v>0</v>
      </c>
      <c r="AZ60" s="33"/>
      <c r="BA60" s="33"/>
      <c r="BB60" s="7">
        <f>AZ60+BA60</f>
        <v>0</v>
      </c>
      <c r="BC60" s="33"/>
      <c r="BD60" s="7">
        <f t="shared" si="8"/>
        <v>0</v>
      </c>
      <c r="BE60" s="33"/>
      <c r="BF60" s="7">
        <f t="shared" si="9"/>
        <v>0</v>
      </c>
      <c r="BG60" s="33"/>
      <c r="BH60" s="7">
        <f t="shared" si="10"/>
        <v>0</v>
      </c>
      <c r="BI60" s="33"/>
      <c r="BJ60" s="7">
        <f t="shared" si="11"/>
        <v>0</v>
      </c>
      <c r="BK60" s="33"/>
      <c r="BL60" s="7">
        <f t="shared" si="12"/>
        <v>0</v>
      </c>
      <c r="BM60" s="33"/>
      <c r="BN60" s="7">
        <f t="shared" si="13"/>
        <v>0</v>
      </c>
      <c r="BO60" s="33"/>
      <c r="BP60" s="14">
        <f t="shared" si="14"/>
        <v>0</v>
      </c>
      <c r="BQ60" s="14">
        <f>AL60+AN60+AQ60+AV60+AY60+BB60</f>
        <v>0</v>
      </c>
      <c r="BR60" s="7"/>
      <c r="BS60" s="7">
        <f>AD60-BP60</f>
        <v>0</v>
      </c>
      <c r="BT60" s="7">
        <f>AD60-BQ60</f>
        <v>0</v>
      </c>
      <c r="BU60" s="15" t="e">
        <f>BP60/AD60</f>
        <v>#DIV/0!</v>
      </c>
      <c r="BV60" s="15" t="e">
        <f>BQ60/AD60</f>
        <v>#DIV/0!</v>
      </c>
      <c r="BW60" s="300"/>
      <c r="BX60" s="300"/>
      <c r="BY60" s="33"/>
      <c r="BZ60" s="36"/>
    </row>
    <row r="61" spans="1:78" s="1" customFormat="1" ht="17.100000000000001" customHeight="1" thickBot="1">
      <c r="A61" s="12"/>
      <c r="B61" s="24"/>
      <c r="C61" s="24"/>
      <c r="D61" s="24"/>
      <c r="E61" s="3"/>
      <c r="F61" s="9"/>
      <c r="G61" s="10"/>
      <c r="H61" s="3"/>
      <c r="I61" s="3"/>
      <c r="J61" s="3"/>
      <c r="K61" s="11"/>
      <c r="L61" s="11"/>
      <c r="M61" s="11"/>
      <c r="N61" s="11"/>
      <c r="O61" s="11"/>
      <c r="P61" s="11"/>
      <c r="Q61" s="12"/>
      <c r="R61" s="12"/>
      <c r="S61" s="12"/>
      <c r="T61" s="12"/>
      <c r="U61" s="12"/>
      <c r="V61" s="13"/>
      <c r="W61" s="34"/>
      <c r="X61" s="24"/>
      <c r="Y61" s="110"/>
      <c r="Z61" s="33"/>
      <c r="AA61" s="33"/>
      <c r="AB61" s="7"/>
      <c r="AC61" s="33"/>
      <c r="AD61" s="33"/>
      <c r="AE61" s="33"/>
      <c r="AF61" s="7"/>
      <c r="AG61" s="33"/>
      <c r="AH61" s="325">
        <f>SUM(AH58:AH60)</f>
        <v>13109500</v>
      </c>
      <c r="AI61" s="325">
        <f>SUM(AI58:AI60)</f>
        <v>24551000</v>
      </c>
      <c r="AJ61" s="325">
        <f>SUM(AJ58:AJ60)</f>
        <v>78500000</v>
      </c>
      <c r="AK61" s="33"/>
      <c r="AL61" s="7"/>
      <c r="AM61" s="33"/>
      <c r="AN61" s="7"/>
      <c r="AO61" s="33"/>
      <c r="AP61" s="33"/>
      <c r="AQ61" s="7"/>
      <c r="AR61" s="7"/>
      <c r="AS61" s="7"/>
      <c r="AT61" s="33"/>
      <c r="AU61" s="33"/>
      <c r="AV61" s="7"/>
      <c r="AW61" s="33"/>
      <c r="AX61" s="33"/>
      <c r="AY61" s="7"/>
      <c r="AZ61" s="33"/>
      <c r="BA61" s="33"/>
      <c r="BB61" s="7"/>
      <c r="BC61" s="33"/>
      <c r="BD61" s="7"/>
      <c r="BE61" s="33"/>
      <c r="BF61" s="7"/>
      <c r="BG61" s="33"/>
      <c r="BH61" s="7"/>
      <c r="BI61" s="33"/>
      <c r="BJ61" s="7"/>
      <c r="BK61" s="33"/>
      <c r="BL61" s="7"/>
      <c r="BM61" s="33"/>
      <c r="BN61" s="7"/>
      <c r="BO61" s="33"/>
      <c r="BP61" s="14"/>
      <c r="BQ61" s="14"/>
      <c r="BR61" s="7"/>
      <c r="BS61" s="7"/>
      <c r="BT61" s="7"/>
      <c r="BU61" s="15"/>
      <c r="BV61" s="15"/>
      <c r="BW61" s="300"/>
      <c r="BX61" s="300"/>
      <c r="BY61" s="33"/>
      <c r="BZ61" s="36"/>
    </row>
    <row r="62" spans="1:78" s="1" customFormat="1" ht="15" customHeight="1">
      <c r="A62" s="12"/>
      <c r="B62" s="24"/>
      <c r="C62" s="24"/>
      <c r="D62" s="24"/>
      <c r="E62" s="3"/>
      <c r="F62" s="9"/>
      <c r="G62" s="10"/>
      <c r="H62" s="3"/>
      <c r="I62" s="3"/>
      <c r="J62" s="3"/>
      <c r="K62" s="11"/>
      <c r="L62" s="11"/>
      <c r="M62" s="11"/>
      <c r="N62" s="11"/>
      <c r="O62" s="11"/>
      <c r="P62" s="11"/>
      <c r="Q62" s="12"/>
      <c r="R62" s="12"/>
      <c r="S62" s="12"/>
      <c r="T62" s="12"/>
      <c r="U62" s="12"/>
      <c r="V62" s="13"/>
      <c r="W62" s="34"/>
      <c r="X62" s="24"/>
      <c r="Y62" s="110"/>
      <c r="Z62" s="33"/>
      <c r="AA62" s="33"/>
      <c r="AB62" s="7"/>
      <c r="AC62" s="33"/>
      <c r="AD62" s="33"/>
      <c r="AE62" s="33"/>
      <c r="AF62" s="7"/>
      <c r="AG62" s="33"/>
      <c r="AH62" s="33"/>
      <c r="AI62" s="33"/>
      <c r="AJ62" s="33"/>
      <c r="AK62" s="33"/>
      <c r="AL62" s="7"/>
      <c r="AM62" s="33"/>
      <c r="AN62" s="7"/>
      <c r="AO62" s="33"/>
      <c r="AP62" s="33"/>
      <c r="AQ62" s="7"/>
      <c r="AR62" s="7"/>
      <c r="AS62" s="7"/>
      <c r="AT62" s="33"/>
      <c r="AU62" s="33"/>
      <c r="AV62" s="7"/>
      <c r="AW62" s="33"/>
      <c r="AX62" s="33"/>
      <c r="AY62" s="7"/>
      <c r="AZ62" s="33"/>
      <c r="BA62" s="33"/>
      <c r="BB62" s="7"/>
      <c r="BC62" s="33"/>
      <c r="BD62" s="7"/>
      <c r="BE62" s="33"/>
      <c r="BF62" s="7"/>
      <c r="BG62" s="33"/>
      <c r="BH62" s="7"/>
      <c r="BI62" s="33"/>
      <c r="BJ62" s="7"/>
      <c r="BK62" s="33"/>
      <c r="BL62" s="7"/>
      <c r="BM62" s="33"/>
      <c r="BN62" s="7"/>
      <c r="BO62" s="33"/>
      <c r="BP62" s="14"/>
      <c r="BQ62" s="14"/>
      <c r="BR62" s="7"/>
      <c r="BS62" s="7"/>
      <c r="BT62" s="7"/>
      <c r="BU62" s="15"/>
      <c r="BV62" s="15"/>
      <c r="BW62" s="300"/>
      <c r="BX62" s="300"/>
      <c r="BY62" s="33"/>
      <c r="BZ62" s="36"/>
    </row>
    <row r="63" spans="1:78" s="1" customFormat="1" ht="15" customHeight="1">
      <c r="A63" s="12" t="s">
        <v>7</v>
      </c>
      <c r="B63" s="24" t="s">
        <v>62</v>
      </c>
      <c r="C63" s="24" t="s">
        <v>227</v>
      </c>
      <c r="D63" s="24" t="s">
        <v>13</v>
      </c>
      <c r="E63" s="3">
        <v>255005</v>
      </c>
      <c r="F63" s="9" t="s">
        <v>13</v>
      </c>
      <c r="G63" s="10" t="s">
        <v>13</v>
      </c>
      <c r="H63" s="3">
        <v>4</v>
      </c>
      <c r="I63" s="3">
        <v>36</v>
      </c>
      <c r="J63" s="3">
        <v>1419</v>
      </c>
      <c r="K63" s="3" t="s">
        <v>186</v>
      </c>
      <c r="L63" s="3" t="s">
        <v>189</v>
      </c>
      <c r="M63" s="11" t="s">
        <v>187</v>
      </c>
      <c r="N63" s="11" t="s">
        <v>187</v>
      </c>
      <c r="O63" s="11" t="s">
        <v>193</v>
      </c>
      <c r="P63" s="3" t="s">
        <v>188</v>
      </c>
      <c r="Q63" s="12" t="s">
        <v>110</v>
      </c>
      <c r="R63" s="12" t="s">
        <v>222</v>
      </c>
      <c r="S63" s="12"/>
      <c r="T63" s="12" t="s">
        <v>36</v>
      </c>
      <c r="U63" s="12" t="s">
        <v>13</v>
      </c>
      <c r="V63" s="25" t="s">
        <v>69</v>
      </c>
      <c r="W63" s="34">
        <v>1</v>
      </c>
      <c r="X63" s="24" t="s">
        <v>133</v>
      </c>
      <c r="Y63" s="110" t="s">
        <v>37</v>
      </c>
      <c r="Z63" s="33">
        <v>500000</v>
      </c>
      <c r="AA63" s="33"/>
      <c r="AB63" s="7">
        <f>Z63+AA63</f>
        <v>500000</v>
      </c>
      <c r="AC63" s="33">
        <v>1831500</v>
      </c>
      <c r="AD63" s="33">
        <f>AB63+AC63</f>
        <v>2331500</v>
      </c>
      <c r="AE63" s="33"/>
      <c r="AF63" s="7">
        <f>+AD63+AE63</f>
        <v>2331500</v>
      </c>
      <c r="AG63" s="33"/>
      <c r="AH63" s="323">
        <v>100000</v>
      </c>
      <c r="AI63" s="323">
        <v>0</v>
      </c>
      <c r="AJ63" s="323">
        <v>0</v>
      </c>
      <c r="AK63" s="33"/>
      <c r="AL63" s="7">
        <f>AK63</f>
        <v>0</v>
      </c>
      <c r="AM63" s="33"/>
      <c r="AN63" s="7">
        <f>AM63</f>
        <v>0</v>
      </c>
      <c r="AO63" s="33"/>
      <c r="AP63" s="33">
        <v>0</v>
      </c>
      <c r="AQ63" s="7">
        <f>AO63+AP63</f>
        <v>0</v>
      </c>
      <c r="AR63" s="7">
        <f>AK63+AM63+AO63</f>
        <v>0</v>
      </c>
      <c r="AS63" s="7">
        <f>AL63+AN63+AQ63</f>
        <v>0</v>
      </c>
      <c r="AT63" s="33"/>
      <c r="AU63" s="33"/>
      <c r="AV63" s="7">
        <f>AT63+AU63</f>
        <v>0</v>
      </c>
      <c r="AW63" s="33"/>
      <c r="AX63" s="33">
        <v>295.58</v>
      </c>
      <c r="AY63" s="7">
        <f>AW63+AX63</f>
        <v>295.58</v>
      </c>
      <c r="AZ63" s="33"/>
      <c r="BA63" s="33"/>
      <c r="BB63" s="7">
        <f>AZ63+BA63</f>
        <v>0</v>
      </c>
      <c r="BC63" s="33"/>
      <c r="BD63" s="7">
        <f>BC63</f>
        <v>0</v>
      </c>
      <c r="BE63" s="33"/>
      <c r="BF63" s="7">
        <f>BE63</f>
        <v>0</v>
      </c>
      <c r="BG63" s="33"/>
      <c r="BH63" s="7">
        <f>BG63</f>
        <v>0</v>
      </c>
      <c r="BI63" s="33"/>
      <c r="BJ63" s="7">
        <f>BI63</f>
        <v>0</v>
      </c>
      <c r="BK63" s="33"/>
      <c r="BL63" s="7">
        <f>BK63</f>
        <v>0</v>
      </c>
      <c r="BM63" s="33"/>
      <c r="BN63" s="7">
        <f>BM63</f>
        <v>0</v>
      </c>
      <c r="BO63" s="33">
        <v>175180.32</v>
      </c>
      <c r="BP63" s="14">
        <f>AK63+AM63+AO63+AT63+AW63+AZ63+BC63+BE63+BG63+BI63+BK63+BM63</f>
        <v>0</v>
      </c>
      <c r="BQ63" s="14">
        <f>AL63+AN63+AQ63+AV63+AY63+BB63</f>
        <v>295.58</v>
      </c>
      <c r="BR63" s="7"/>
      <c r="BS63" s="7">
        <f>AD63-BP63</f>
        <v>2331500</v>
      </c>
      <c r="BT63" s="7">
        <f>AD63-BQ63</f>
        <v>2331204.42</v>
      </c>
      <c r="BU63" s="15">
        <f>BP63/AD63</f>
        <v>0</v>
      </c>
      <c r="BV63" s="15">
        <f>BQ63/AD63</f>
        <v>1.2677675316319966E-4</v>
      </c>
      <c r="BW63" s="33"/>
      <c r="BX63" s="33"/>
      <c r="BY63" s="33"/>
      <c r="BZ63" s="36"/>
    </row>
    <row r="64" spans="1:78" s="1" customFormat="1" ht="15" customHeight="1">
      <c r="A64" s="12"/>
      <c r="B64" s="24"/>
      <c r="C64" s="24"/>
      <c r="D64" s="24"/>
      <c r="E64" s="3"/>
      <c r="F64" s="9"/>
      <c r="G64" s="10"/>
      <c r="H64" s="3"/>
      <c r="I64" s="3"/>
      <c r="J64" s="3"/>
      <c r="K64" s="11"/>
      <c r="L64" s="11"/>
      <c r="M64" s="11"/>
      <c r="N64" s="11"/>
      <c r="O64" s="11"/>
      <c r="P64" s="11"/>
      <c r="Q64" s="12"/>
      <c r="R64" s="12"/>
      <c r="S64" s="12"/>
      <c r="T64" s="12"/>
      <c r="U64" s="12"/>
      <c r="V64" s="13"/>
      <c r="W64" s="34"/>
      <c r="X64" s="24"/>
      <c r="Y64" s="110"/>
      <c r="Z64" s="33"/>
      <c r="AA64" s="33"/>
      <c r="AB64" s="7"/>
      <c r="AC64" s="33"/>
      <c r="AD64" s="33"/>
      <c r="AE64" s="33"/>
      <c r="AF64" s="7"/>
      <c r="AG64" s="33"/>
      <c r="AH64" s="33"/>
      <c r="AI64" s="33"/>
      <c r="AJ64" s="33"/>
      <c r="AK64" s="33"/>
      <c r="AL64" s="7"/>
      <c r="AM64" s="33"/>
      <c r="AN64" s="7"/>
      <c r="AO64" s="33"/>
      <c r="AP64" s="33"/>
      <c r="AQ64" s="7"/>
      <c r="AR64" s="7"/>
      <c r="AS64" s="7"/>
      <c r="AT64" s="33"/>
      <c r="AU64" s="33"/>
      <c r="AV64" s="7"/>
      <c r="AW64" s="33"/>
      <c r="AX64" s="33"/>
      <c r="AY64" s="7"/>
      <c r="AZ64" s="33"/>
      <c r="BA64" s="33"/>
      <c r="BB64" s="7"/>
      <c r="BC64" s="33"/>
      <c r="BD64" s="7"/>
      <c r="BE64" s="33"/>
      <c r="BF64" s="7"/>
      <c r="BG64" s="33"/>
      <c r="BH64" s="7"/>
      <c r="BI64" s="33"/>
      <c r="BJ64" s="7"/>
      <c r="BK64" s="33"/>
      <c r="BL64" s="7"/>
      <c r="BM64" s="33"/>
      <c r="BN64" s="7"/>
      <c r="BO64" s="33"/>
      <c r="BP64" s="14"/>
      <c r="BQ64" s="14"/>
      <c r="BR64" s="7"/>
      <c r="BS64" s="7"/>
      <c r="BT64" s="7"/>
      <c r="BU64" s="15"/>
      <c r="BV64" s="15"/>
      <c r="BW64" s="300"/>
      <c r="BX64" s="300"/>
      <c r="BY64" s="33"/>
      <c r="BZ64" s="36"/>
    </row>
    <row r="65" spans="1:79" s="1" customFormat="1" ht="15" customHeight="1">
      <c r="A65" s="12" t="s">
        <v>7</v>
      </c>
      <c r="B65" s="24" t="s">
        <v>62</v>
      </c>
      <c r="C65" s="24" t="s">
        <v>227</v>
      </c>
      <c r="D65" s="24" t="s">
        <v>13</v>
      </c>
      <c r="E65" s="3">
        <v>255005</v>
      </c>
      <c r="F65" s="9" t="s">
        <v>13</v>
      </c>
      <c r="G65" s="10" t="s">
        <v>13</v>
      </c>
      <c r="H65" s="3">
        <v>4</v>
      </c>
      <c r="I65" s="3">
        <v>36</v>
      </c>
      <c r="J65" s="3">
        <v>1404</v>
      </c>
      <c r="K65" s="3" t="s">
        <v>186</v>
      </c>
      <c r="L65" s="3" t="s">
        <v>189</v>
      </c>
      <c r="M65" s="11" t="s">
        <v>187</v>
      </c>
      <c r="N65" s="11" t="s">
        <v>187</v>
      </c>
      <c r="O65" s="11" t="s">
        <v>193</v>
      </c>
      <c r="P65" s="3" t="s">
        <v>188</v>
      </c>
      <c r="Q65" s="12" t="s">
        <v>110</v>
      </c>
      <c r="R65" s="12" t="s">
        <v>222</v>
      </c>
      <c r="S65" s="12"/>
      <c r="T65" s="12" t="s">
        <v>36</v>
      </c>
      <c r="U65" s="12" t="s">
        <v>13</v>
      </c>
      <c r="V65" s="25" t="s">
        <v>69</v>
      </c>
      <c r="W65" s="111">
        <v>19</v>
      </c>
      <c r="X65" s="24" t="s">
        <v>153</v>
      </c>
      <c r="Y65" s="110" t="s">
        <v>37</v>
      </c>
      <c r="Z65" s="33">
        <v>8000000</v>
      </c>
      <c r="AA65" s="33"/>
      <c r="AB65" s="7">
        <f>Z65+AA65</f>
        <v>8000000</v>
      </c>
      <c r="AC65" s="33">
        <v>1800000</v>
      </c>
      <c r="AD65" s="33">
        <f>AB65+AC65</f>
        <v>9800000</v>
      </c>
      <c r="AE65" s="33"/>
      <c r="AF65" s="7">
        <f>+AD65+AE65</f>
        <v>9800000</v>
      </c>
      <c r="AG65" s="33"/>
      <c r="AH65" s="33">
        <v>100000</v>
      </c>
      <c r="AI65" s="33">
        <v>0</v>
      </c>
      <c r="AJ65" s="33">
        <v>0</v>
      </c>
      <c r="AK65" s="33"/>
      <c r="AL65" s="7">
        <f>AK65</f>
        <v>0</v>
      </c>
      <c r="AM65" s="33">
        <v>149203.54999999999</v>
      </c>
      <c r="AN65" s="7">
        <f>AM65+20888.5</f>
        <v>170092.05</v>
      </c>
      <c r="AO65" s="33">
        <v>761056.68</v>
      </c>
      <c r="AP65" s="33">
        <v>106547.93</v>
      </c>
      <c r="AQ65" s="7">
        <f>AO65+AP65</f>
        <v>867604.6100000001</v>
      </c>
      <c r="AR65" s="7">
        <f>AK65+AM65+AO65</f>
        <v>910260.23</v>
      </c>
      <c r="AS65" s="7">
        <f>AL65+AN65+AQ65</f>
        <v>1037696.6600000001</v>
      </c>
      <c r="AT65" s="33"/>
      <c r="AU65" s="33"/>
      <c r="AV65" s="7">
        <f>AT65+AU65</f>
        <v>0</v>
      </c>
      <c r="AW65" s="33">
        <v>340800.89</v>
      </c>
      <c r="AX65" s="33">
        <v>47712.12</v>
      </c>
      <c r="AY65" s="7">
        <f>AW65+AX65</f>
        <v>388513.01</v>
      </c>
      <c r="AZ65" s="33">
        <v>751461.26</v>
      </c>
      <c r="BA65" s="33"/>
      <c r="BB65" s="7">
        <f>AZ65+BA65</f>
        <v>751461.26</v>
      </c>
      <c r="BC65" s="33"/>
      <c r="BD65" s="7">
        <f>BC65</f>
        <v>0</v>
      </c>
      <c r="BE65" s="33"/>
      <c r="BF65" s="7">
        <f>BE65</f>
        <v>0</v>
      </c>
      <c r="BG65" s="33"/>
      <c r="BH65" s="7">
        <f>BG65</f>
        <v>0</v>
      </c>
      <c r="BI65" s="33"/>
      <c r="BJ65" s="7">
        <f>BI65</f>
        <v>0</v>
      </c>
      <c r="BK65" s="33"/>
      <c r="BL65" s="7">
        <f>BK65</f>
        <v>0</v>
      </c>
      <c r="BM65" s="33"/>
      <c r="BN65" s="7">
        <f>BM65</f>
        <v>0</v>
      </c>
      <c r="BO65" s="33"/>
      <c r="BP65" s="14">
        <f>AK65+AM65+AO65+AT65+AW65+AZ65+BC65+BE65+BG65+BI65+BK65+BM65</f>
        <v>2002522.3800000001</v>
      </c>
      <c r="BQ65" s="14">
        <f>AL65+AN65+AQ65+AV65+AY65+BB65</f>
        <v>2177670.9300000002</v>
      </c>
      <c r="BR65" s="7"/>
      <c r="BS65" s="7">
        <f>AD65-BP65</f>
        <v>7797477.6200000001</v>
      </c>
      <c r="BT65" s="7">
        <f>AD65-BQ65</f>
        <v>7622329.0700000003</v>
      </c>
      <c r="BU65" s="15">
        <f>BP65/AD65</f>
        <v>0.20433901836734694</v>
      </c>
      <c r="BV65" s="15">
        <f>BQ65/AD65</f>
        <v>0.22221131938775512</v>
      </c>
      <c r="BW65" s="33"/>
      <c r="BX65" s="33"/>
      <c r="BY65" s="33"/>
      <c r="BZ65" s="36"/>
    </row>
    <row r="66" spans="1:79" s="1" customFormat="1" ht="15" customHeight="1">
      <c r="A66" s="12" t="s">
        <v>7</v>
      </c>
      <c r="B66" s="24" t="s">
        <v>62</v>
      </c>
      <c r="C66" s="24" t="s">
        <v>227</v>
      </c>
      <c r="D66" s="24"/>
      <c r="E66" s="3">
        <v>255005</v>
      </c>
      <c r="F66" s="9"/>
      <c r="G66" s="10"/>
      <c r="H66" s="3"/>
      <c r="I66" s="11"/>
      <c r="J66" s="3"/>
      <c r="K66" s="11"/>
      <c r="L66" s="11"/>
      <c r="M66" s="11"/>
      <c r="N66" s="11"/>
      <c r="O66" s="11"/>
      <c r="P66" s="11"/>
      <c r="Q66" s="12"/>
      <c r="R66" s="12"/>
      <c r="S66" s="12"/>
      <c r="T66" s="12"/>
      <c r="U66" s="12"/>
      <c r="V66" s="13"/>
      <c r="W66" s="34"/>
      <c r="X66" s="24" t="s">
        <v>468</v>
      </c>
      <c r="Y66" s="110" t="s">
        <v>460</v>
      </c>
      <c r="Z66" s="33"/>
      <c r="AA66" s="33"/>
      <c r="AB66" s="7"/>
      <c r="AC66" s="33"/>
      <c r="AD66" s="33"/>
      <c r="AE66" s="33"/>
      <c r="AF66" s="7"/>
      <c r="AG66" s="33"/>
      <c r="AH66" s="33">
        <v>1000000</v>
      </c>
      <c r="AI66" s="33">
        <v>0</v>
      </c>
      <c r="AJ66" s="33">
        <v>0</v>
      </c>
      <c r="AK66" s="33"/>
      <c r="AL66" s="7"/>
      <c r="AM66" s="33"/>
      <c r="AN66" s="7"/>
      <c r="AO66" s="33"/>
      <c r="AP66" s="33"/>
      <c r="AQ66" s="7"/>
      <c r="AR66" s="7"/>
      <c r="AS66" s="7"/>
      <c r="AT66" s="33"/>
      <c r="AU66" s="33"/>
      <c r="AV66" s="7"/>
      <c r="AW66" s="33"/>
      <c r="AX66" s="33"/>
      <c r="AY66" s="7"/>
      <c r="AZ66" s="33"/>
      <c r="BA66" s="33"/>
      <c r="BB66" s="7"/>
      <c r="BC66" s="33"/>
      <c r="BD66" s="7"/>
      <c r="BE66" s="33"/>
      <c r="BF66" s="7"/>
      <c r="BG66" s="33"/>
      <c r="BH66" s="7"/>
      <c r="BI66" s="33"/>
      <c r="BJ66" s="7"/>
      <c r="BK66" s="33"/>
      <c r="BL66" s="7"/>
      <c r="BM66" s="33"/>
      <c r="BN66" s="7"/>
      <c r="BO66" s="33"/>
      <c r="BP66" s="14"/>
      <c r="BQ66" s="14"/>
      <c r="BR66" s="7"/>
      <c r="BS66" s="7"/>
      <c r="BT66" s="7"/>
      <c r="BU66" s="15"/>
      <c r="BV66" s="15"/>
      <c r="BW66" s="300"/>
      <c r="BX66" s="300"/>
      <c r="BY66" s="33"/>
      <c r="BZ66" s="36"/>
    </row>
    <row r="67" spans="1:79" s="1" customFormat="1" ht="17.100000000000001" customHeight="1" thickBot="1">
      <c r="A67" s="12"/>
      <c r="B67" s="24"/>
      <c r="C67" s="24"/>
      <c r="D67" s="24"/>
      <c r="E67" s="3"/>
      <c r="F67" s="9"/>
      <c r="G67" s="10"/>
      <c r="H67" s="3"/>
      <c r="I67" s="11"/>
      <c r="J67" s="3"/>
      <c r="K67" s="11"/>
      <c r="L67" s="11"/>
      <c r="M67" s="11"/>
      <c r="N67" s="11"/>
      <c r="O67" s="11"/>
      <c r="P67" s="11"/>
      <c r="Q67" s="12"/>
      <c r="R67" s="12"/>
      <c r="S67" s="12"/>
      <c r="T67" s="12"/>
      <c r="U67" s="12"/>
      <c r="V67" s="13"/>
      <c r="W67" s="34"/>
      <c r="X67" s="24"/>
      <c r="Y67" s="110"/>
      <c r="Z67" s="33"/>
      <c r="AA67" s="33"/>
      <c r="AB67" s="7"/>
      <c r="AC67" s="33"/>
      <c r="AD67" s="33"/>
      <c r="AE67" s="33"/>
      <c r="AF67" s="7"/>
      <c r="AG67" s="33"/>
      <c r="AH67" s="325">
        <f>SUM(AH65:AH66)</f>
        <v>1100000</v>
      </c>
      <c r="AI67" s="325">
        <f>SUM(AI65:AI66)</f>
        <v>0</v>
      </c>
      <c r="AJ67" s="325">
        <f>SUM(AJ65:AJ66)</f>
        <v>0</v>
      </c>
      <c r="AK67" s="33"/>
      <c r="AL67" s="7"/>
      <c r="AM67" s="33"/>
      <c r="AN67" s="7"/>
      <c r="AO67" s="33"/>
      <c r="AP67" s="33"/>
      <c r="AQ67" s="7"/>
      <c r="AR67" s="7"/>
      <c r="AS67" s="7"/>
      <c r="AT67" s="33"/>
      <c r="AU67" s="33"/>
      <c r="AV67" s="7"/>
      <c r="AW67" s="33"/>
      <c r="AX67" s="33"/>
      <c r="AY67" s="7"/>
      <c r="AZ67" s="33"/>
      <c r="BA67" s="33"/>
      <c r="BB67" s="7"/>
      <c r="BC67" s="33"/>
      <c r="BD67" s="7"/>
      <c r="BE67" s="33"/>
      <c r="BF67" s="7"/>
      <c r="BG67" s="33"/>
      <c r="BH67" s="7"/>
      <c r="BI67" s="33"/>
      <c r="BJ67" s="7"/>
      <c r="BK67" s="33"/>
      <c r="BL67" s="7"/>
      <c r="BM67" s="33"/>
      <c r="BN67" s="7"/>
      <c r="BO67" s="33"/>
      <c r="BP67" s="14"/>
      <c r="BQ67" s="14"/>
      <c r="BR67" s="7"/>
      <c r="BS67" s="7"/>
      <c r="BT67" s="7"/>
      <c r="BU67" s="15"/>
      <c r="BV67" s="15"/>
      <c r="BW67" s="300"/>
      <c r="BX67" s="300"/>
      <c r="BY67" s="33"/>
      <c r="BZ67" s="36"/>
    </row>
    <row r="68" spans="1:79" s="1" customFormat="1" ht="15" customHeight="1">
      <c r="A68" s="12"/>
      <c r="B68" s="24"/>
      <c r="C68" s="24"/>
      <c r="D68" s="24"/>
      <c r="E68" s="3"/>
      <c r="F68" s="9"/>
      <c r="G68" s="10"/>
      <c r="H68" s="3"/>
      <c r="I68" s="11"/>
      <c r="J68" s="3"/>
      <c r="K68" s="11"/>
      <c r="L68" s="11"/>
      <c r="M68" s="11"/>
      <c r="N68" s="11"/>
      <c r="O68" s="11"/>
      <c r="P68" s="11"/>
      <c r="Q68" s="12"/>
      <c r="R68" s="12"/>
      <c r="S68" s="12"/>
      <c r="T68" s="12"/>
      <c r="U68" s="12"/>
      <c r="V68" s="13"/>
      <c r="W68" s="34"/>
      <c r="X68" s="24"/>
      <c r="Y68" s="110"/>
      <c r="Z68" s="33"/>
      <c r="AA68" s="33"/>
      <c r="AB68" s="7"/>
      <c r="AC68" s="33"/>
      <c r="AD68" s="33"/>
      <c r="AE68" s="33"/>
      <c r="AF68" s="7"/>
      <c r="AG68" s="33"/>
      <c r="AH68" s="33"/>
      <c r="AI68" s="33"/>
      <c r="AJ68" s="33"/>
      <c r="AK68" s="33"/>
      <c r="AL68" s="7"/>
      <c r="AM68" s="33"/>
      <c r="AN68" s="7"/>
      <c r="AO68" s="33"/>
      <c r="AP68" s="33"/>
      <c r="AQ68" s="7"/>
      <c r="AR68" s="7"/>
      <c r="AS68" s="7"/>
      <c r="AT68" s="33"/>
      <c r="AU68" s="33"/>
      <c r="AV68" s="7"/>
      <c r="AW68" s="33"/>
      <c r="AX68" s="33"/>
      <c r="AY68" s="7"/>
      <c r="AZ68" s="33"/>
      <c r="BA68" s="33"/>
      <c r="BB68" s="7"/>
      <c r="BC68" s="33"/>
      <c r="BD68" s="7"/>
      <c r="BE68" s="33"/>
      <c r="BF68" s="7"/>
      <c r="BG68" s="33"/>
      <c r="BH68" s="7"/>
      <c r="BI68" s="33"/>
      <c r="BJ68" s="7"/>
      <c r="BK68" s="33"/>
      <c r="BL68" s="7"/>
      <c r="BM68" s="33"/>
      <c r="BN68" s="7"/>
      <c r="BO68" s="33"/>
      <c r="BP68" s="14"/>
      <c r="BQ68" s="14"/>
      <c r="BR68" s="7"/>
      <c r="BS68" s="7"/>
      <c r="BT68" s="7"/>
      <c r="BU68" s="15"/>
      <c r="BV68" s="15"/>
      <c r="BW68" s="300"/>
      <c r="BX68" s="300"/>
      <c r="BY68" s="33"/>
      <c r="BZ68" s="36"/>
    </row>
    <row r="69" spans="1:79" s="1" customFormat="1" ht="15" customHeight="1">
      <c r="A69" s="12" t="s">
        <v>7</v>
      </c>
      <c r="B69" s="24" t="s">
        <v>62</v>
      </c>
      <c r="C69" s="24" t="s">
        <v>227</v>
      </c>
      <c r="D69" s="24" t="s">
        <v>13</v>
      </c>
      <c r="E69" s="3">
        <v>255005</v>
      </c>
      <c r="F69" s="9" t="s">
        <v>13</v>
      </c>
      <c r="G69" s="10" t="s">
        <v>13</v>
      </c>
      <c r="H69" s="3">
        <v>4</v>
      </c>
      <c r="I69" s="3">
        <v>36</v>
      </c>
      <c r="J69" s="3">
        <v>1421</v>
      </c>
      <c r="K69" s="3" t="s">
        <v>186</v>
      </c>
      <c r="L69" s="3" t="s">
        <v>189</v>
      </c>
      <c r="M69" s="11" t="s">
        <v>187</v>
      </c>
      <c r="N69" s="11" t="s">
        <v>187</v>
      </c>
      <c r="O69" s="11" t="s">
        <v>193</v>
      </c>
      <c r="P69" s="3" t="s">
        <v>188</v>
      </c>
      <c r="Q69" s="12" t="s">
        <v>110</v>
      </c>
      <c r="R69" s="12" t="s">
        <v>222</v>
      </c>
      <c r="S69" s="12"/>
      <c r="T69" s="12" t="s">
        <v>36</v>
      </c>
      <c r="U69" s="12" t="s">
        <v>13</v>
      </c>
      <c r="V69" s="25" t="s">
        <v>69</v>
      </c>
      <c r="W69" s="34">
        <v>9</v>
      </c>
      <c r="X69" s="24" t="s">
        <v>168</v>
      </c>
      <c r="Y69" s="110" t="s">
        <v>37</v>
      </c>
      <c r="Z69" s="33">
        <v>200000</v>
      </c>
      <c r="AA69" s="33"/>
      <c r="AB69" s="7">
        <f>Z69+AA69</f>
        <v>200000</v>
      </c>
      <c r="AC69" s="33"/>
      <c r="AD69" s="33">
        <f>AB69+AC69</f>
        <v>200000</v>
      </c>
      <c r="AE69" s="33"/>
      <c r="AF69" s="7">
        <f>+AD69+AE69</f>
        <v>200000</v>
      </c>
      <c r="AG69" s="33"/>
      <c r="AH69" s="33">
        <v>1100000</v>
      </c>
      <c r="AI69" s="33">
        <v>1000000</v>
      </c>
      <c r="AJ69" s="33">
        <v>1000000</v>
      </c>
      <c r="AK69" s="33"/>
      <c r="AL69" s="7">
        <f>AK69</f>
        <v>0</v>
      </c>
      <c r="AM69" s="33"/>
      <c r="AN69" s="7">
        <f>AM69</f>
        <v>0</v>
      </c>
      <c r="AO69" s="33"/>
      <c r="AP69" s="33">
        <v>0</v>
      </c>
      <c r="AQ69" s="7">
        <f>AO69+AP69</f>
        <v>0</v>
      </c>
      <c r="AR69" s="7">
        <f>AK69+AM69+AO69</f>
        <v>0</v>
      </c>
      <c r="AS69" s="7">
        <f>AL69+AN69+AQ69</f>
        <v>0</v>
      </c>
      <c r="AT69" s="33"/>
      <c r="AU69" s="33"/>
      <c r="AV69" s="7">
        <f>AT69+AU69</f>
        <v>0</v>
      </c>
      <c r="AW69" s="33"/>
      <c r="AX69" s="33"/>
      <c r="AY69" s="7">
        <f>AW69+AX69</f>
        <v>0</v>
      </c>
      <c r="AZ69" s="33"/>
      <c r="BA69" s="33"/>
      <c r="BB69" s="7">
        <f>AZ69+BA69</f>
        <v>0</v>
      </c>
      <c r="BC69" s="33"/>
      <c r="BD69" s="7">
        <f>BC69</f>
        <v>0</v>
      </c>
      <c r="BE69" s="33"/>
      <c r="BF69" s="7">
        <f>BE69</f>
        <v>0</v>
      </c>
      <c r="BG69" s="33"/>
      <c r="BH69" s="7">
        <f>BG69</f>
        <v>0</v>
      </c>
      <c r="BI69" s="33"/>
      <c r="BJ69" s="7">
        <f>BI69</f>
        <v>0</v>
      </c>
      <c r="BK69" s="33"/>
      <c r="BL69" s="7">
        <f>BK69</f>
        <v>0</v>
      </c>
      <c r="BM69" s="33"/>
      <c r="BN69" s="7">
        <f>BM69</f>
        <v>0</v>
      </c>
      <c r="BO69" s="33"/>
      <c r="BP69" s="14">
        <f>AK69+AM69+AO69+AT69+AW69+AZ69+BC69+BE69+BG69+BI69+BK69+BM69</f>
        <v>0</v>
      </c>
      <c r="BQ69" s="14">
        <f>AL69+AN69+AQ69+AV69+AY69+BB69</f>
        <v>0</v>
      </c>
      <c r="BR69" s="7"/>
      <c r="BS69" s="7">
        <f>AD69-BP69</f>
        <v>200000</v>
      </c>
      <c r="BT69" s="7">
        <f>AD69-BQ69</f>
        <v>200000</v>
      </c>
      <c r="BU69" s="15">
        <f>BP69/AD69</f>
        <v>0</v>
      </c>
      <c r="BV69" s="15">
        <f>BQ69/AD69</f>
        <v>0</v>
      </c>
      <c r="BW69" s="33">
        <v>6000000</v>
      </c>
      <c r="BX69" s="33"/>
      <c r="BY69" s="33"/>
      <c r="BZ69" s="36"/>
    </row>
    <row r="70" spans="1:79" s="1" customFormat="1" ht="15" customHeight="1">
      <c r="A70" s="12" t="s">
        <v>7</v>
      </c>
      <c r="B70" s="24"/>
      <c r="C70" s="24"/>
      <c r="D70" s="24"/>
      <c r="E70" s="3">
        <v>255005</v>
      </c>
      <c r="F70" s="9" t="s">
        <v>13</v>
      </c>
      <c r="G70" s="10" t="s">
        <v>13</v>
      </c>
      <c r="H70" s="3"/>
      <c r="I70" s="3"/>
      <c r="J70" s="3"/>
      <c r="K70" s="11"/>
      <c r="L70" s="11"/>
      <c r="M70" s="11"/>
      <c r="N70" s="11"/>
      <c r="O70" s="11"/>
      <c r="P70" s="11"/>
      <c r="Q70" s="12" t="s">
        <v>110</v>
      </c>
      <c r="R70" s="12"/>
      <c r="S70" s="12"/>
      <c r="T70" s="12" t="s">
        <v>36</v>
      </c>
      <c r="U70" s="12" t="s">
        <v>13</v>
      </c>
      <c r="V70" s="25" t="s">
        <v>69</v>
      </c>
      <c r="W70" s="34"/>
      <c r="X70" s="24" t="s">
        <v>290</v>
      </c>
      <c r="Y70" s="110" t="s">
        <v>37</v>
      </c>
      <c r="Z70" s="33">
        <v>0</v>
      </c>
      <c r="AA70" s="33"/>
      <c r="AB70" s="7">
        <f>Z70+AA70</f>
        <v>0</v>
      </c>
      <c r="AC70" s="33"/>
      <c r="AD70" s="33">
        <f>AB70+AC70</f>
        <v>0</v>
      </c>
      <c r="AE70" s="33"/>
      <c r="AF70" s="7">
        <f>+AD70+AE70</f>
        <v>0</v>
      </c>
      <c r="AG70" s="33"/>
      <c r="AH70" s="33">
        <v>1250000</v>
      </c>
      <c r="AI70" s="33">
        <f>1250000+50000</f>
        <v>1300000</v>
      </c>
      <c r="AJ70" s="33">
        <v>1300000</v>
      </c>
      <c r="AK70" s="33"/>
      <c r="AL70" s="7"/>
      <c r="AM70" s="33"/>
      <c r="AN70" s="7"/>
      <c r="AO70" s="33"/>
      <c r="AP70" s="33"/>
      <c r="AQ70" s="7"/>
      <c r="AR70" s="7"/>
      <c r="AS70" s="7"/>
      <c r="AT70" s="33"/>
      <c r="AU70" s="33"/>
      <c r="AV70" s="7"/>
      <c r="AW70" s="33"/>
      <c r="AX70" s="33"/>
      <c r="AY70" s="7"/>
      <c r="AZ70" s="33"/>
      <c r="BA70" s="33"/>
      <c r="BB70" s="7"/>
      <c r="BC70" s="33"/>
      <c r="BD70" s="7"/>
      <c r="BE70" s="33"/>
      <c r="BF70" s="7"/>
      <c r="BG70" s="33"/>
      <c r="BH70" s="7"/>
      <c r="BI70" s="33"/>
      <c r="BJ70" s="7"/>
      <c r="BK70" s="33"/>
      <c r="BL70" s="7"/>
      <c r="BM70" s="33"/>
      <c r="BN70" s="7"/>
      <c r="BO70" s="33"/>
      <c r="BP70" s="14"/>
      <c r="BQ70" s="14"/>
      <c r="BR70" s="7"/>
      <c r="BS70" s="7"/>
      <c r="BT70" s="7"/>
      <c r="BU70" s="15"/>
      <c r="BV70" s="15"/>
      <c r="BW70" s="33"/>
      <c r="BX70" s="33"/>
      <c r="BY70" s="33"/>
      <c r="BZ70" s="36"/>
    </row>
    <row r="71" spans="1:79" s="1" customFormat="1" ht="15" customHeight="1">
      <c r="A71" s="12" t="s">
        <v>7</v>
      </c>
      <c r="B71" s="24"/>
      <c r="C71" s="24"/>
      <c r="D71" s="24"/>
      <c r="E71" s="3">
        <v>255005</v>
      </c>
      <c r="F71" s="9"/>
      <c r="G71" s="10"/>
      <c r="H71" s="3"/>
      <c r="I71" s="3"/>
      <c r="J71" s="3"/>
      <c r="K71" s="11"/>
      <c r="L71" s="11"/>
      <c r="M71" s="11"/>
      <c r="N71" s="11"/>
      <c r="O71" s="11"/>
      <c r="P71" s="11"/>
      <c r="Q71" s="12"/>
      <c r="R71" s="12"/>
      <c r="S71" s="12"/>
      <c r="T71" s="12"/>
      <c r="U71" s="12"/>
      <c r="V71" s="13"/>
      <c r="W71" s="34"/>
      <c r="X71" s="24" t="s">
        <v>469</v>
      </c>
      <c r="Y71" s="110" t="s">
        <v>460</v>
      </c>
      <c r="Z71" s="33"/>
      <c r="AA71" s="33"/>
      <c r="AB71" s="7"/>
      <c r="AC71" s="33"/>
      <c r="AD71" s="33"/>
      <c r="AE71" s="33"/>
      <c r="AF71" s="7"/>
      <c r="AG71" s="33"/>
      <c r="AH71" s="33">
        <v>0</v>
      </c>
      <c r="AI71" s="33">
        <v>500000</v>
      </c>
      <c r="AJ71" s="33">
        <v>0</v>
      </c>
      <c r="AK71" s="33"/>
      <c r="AL71" s="7"/>
      <c r="AM71" s="33"/>
      <c r="AN71" s="7"/>
      <c r="AO71" s="33"/>
      <c r="AP71" s="33"/>
      <c r="AQ71" s="7"/>
      <c r="AR71" s="7"/>
      <c r="AS71" s="7"/>
      <c r="AT71" s="33"/>
      <c r="AU71" s="33"/>
      <c r="AV71" s="7"/>
      <c r="AW71" s="33"/>
      <c r="AX71" s="33"/>
      <c r="AY71" s="7"/>
      <c r="AZ71" s="33"/>
      <c r="BA71" s="33"/>
      <c r="BB71" s="7"/>
      <c r="BC71" s="33"/>
      <c r="BD71" s="7"/>
      <c r="BE71" s="33"/>
      <c r="BF71" s="7"/>
      <c r="BG71" s="33"/>
      <c r="BH71" s="7"/>
      <c r="BI71" s="33"/>
      <c r="BJ71" s="7"/>
      <c r="BK71" s="33"/>
      <c r="BL71" s="7"/>
      <c r="BM71" s="33"/>
      <c r="BN71" s="7"/>
      <c r="BO71" s="33"/>
      <c r="BP71" s="14"/>
      <c r="BQ71" s="14"/>
      <c r="BR71" s="7"/>
      <c r="BS71" s="7"/>
      <c r="BT71" s="7"/>
      <c r="BU71" s="15"/>
      <c r="BV71" s="15"/>
      <c r="BW71" s="33"/>
      <c r="BX71" s="33"/>
      <c r="BY71" s="33"/>
      <c r="BZ71" s="36"/>
    </row>
    <row r="72" spans="1:79" s="1" customFormat="1" ht="15" customHeight="1">
      <c r="A72" s="12" t="s">
        <v>7</v>
      </c>
      <c r="B72" s="24"/>
      <c r="C72" s="24"/>
      <c r="D72" s="24"/>
      <c r="E72" s="3">
        <v>255005</v>
      </c>
      <c r="F72" s="9"/>
      <c r="G72" s="10"/>
      <c r="H72" s="3"/>
      <c r="I72" s="3"/>
      <c r="J72" s="3"/>
      <c r="K72" s="11"/>
      <c r="L72" s="11"/>
      <c r="M72" s="11"/>
      <c r="N72" s="11"/>
      <c r="O72" s="11"/>
      <c r="P72" s="11"/>
      <c r="Q72" s="12"/>
      <c r="R72" s="12"/>
      <c r="S72" s="12"/>
      <c r="T72" s="12"/>
      <c r="U72" s="12"/>
      <c r="V72" s="13"/>
      <c r="W72" s="34"/>
      <c r="X72" s="24" t="s">
        <v>470</v>
      </c>
      <c r="Y72" s="110" t="s">
        <v>460</v>
      </c>
      <c r="Z72" s="33"/>
      <c r="AA72" s="33"/>
      <c r="AB72" s="7"/>
      <c r="AC72" s="33"/>
      <c r="AD72" s="33"/>
      <c r="AE72" s="33"/>
      <c r="AF72" s="7"/>
      <c r="AG72" s="33"/>
      <c r="AH72" s="33">
        <v>500000</v>
      </c>
      <c r="AI72" s="33">
        <v>4000000</v>
      </c>
      <c r="AJ72" s="33">
        <v>6000000</v>
      </c>
      <c r="AK72" s="33"/>
      <c r="AL72" s="7"/>
      <c r="AM72" s="33"/>
      <c r="AN72" s="7"/>
      <c r="AO72" s="33"/>
      <c r="AP72" s="33"/>
      <c r="AQ72" s="7"/>
      <c r="AR72" s="7"/>
      <c r="AS72" s="7"/>
      <c r="AT72" s="33"/>
      <c r="AU72" s="33"/>
      <c r="AV72" s="7"/>
      <c r="AW72" s="33"/>
      <c r="AX72" s="33"/>
      <c r="AY72" s="7"/>
      <c r="AZ72" s="33"/>
      <c r="BA72" s="33"/>
      <c r="BB72" s="7"/>
      <c r="BC72" s="33"/>
      <c r="BD72" s="7"/>
      <c r="BE72" s="33"/>
      <c r="BF72" s="7"/>
      <c r="BG72" s="33"/>
      <c r="BH72" s="7"/>
      <c r="BI72" s="33"/>
      <c r="BJ72" s="7"/>
      <c r="BK72" s="33"/>
      <c r="BL72" s="7"/>
      <c r="BM72" s="33"/>
      <c r="BN72" s="7"/>
      <c r="BO72" s="33"/>
      <c r="BP72" s="14"/>
      <c r="BQ72" s="14"/>
      <c r="BR72" s="7"/>
      <c r="BS72" s="7"/>
      <c r="BT72" s="7"/>
      <c r="BU72" s="15"/>
      <c r="BV72" s="15"/>
      <c r="BW72" s="33"/>
      <c r="BX72" s="33"/>
      <c r="BY72" s="33"/>
      <c r="BZ72" s="36"/>
    </row>
    <row r="73" spans="1:79" s="1" customFormat="1" ht="17.100000000000001" customHeight="1" thickBot="1">
      <c r="A73" s="12"/>
      <c r="B73" s="24"/>
      <c r="C73" s="24"/>
      <c r="D73" s="24"/>
      <c r="E73" s="3"/>
      <c r="F73" s="9"/>
      <c r="G73" s="10"/>
      <c r="H73" s="3"/>
      <c r="I73" s="3"/>
      <c r="J73" s="3"/>
      <c r="K73" s="11"/>
      <c r="L73" s="11"/>
      <c r="M73" s="11"/>
      <c r="N73" s="11"/>
      <c r="O73" s="11"/>
      <c r="P73" s="11"/>
      <c r="Q73" s="12"/>
      <c r="R73" s="12"/>
      <c r="S73" s="12"/>
      <c r="T73" s="12"/>
      <c r="U73" s="12"/>
      <c r="V73" s="13"/>
      <c r="W73" s="34"/>
      <c r="X73" s="24"/>
      <c r="Y73" s="110"/>
      <c r="Z73" s="33"/>
      <c r="AA73" s="33"/>
      <c r="AB73" s="7"/>
      <c r="AC73" s="33"/>
      <c r="AD73" s="33"/>
      <c r="AE73" s="33"/>
      <c r="AF73" s="7"/>
      <c r="AG73" s="33"/>
      <c r="AH73" s="325">
        <f>SUM(AH69:AH72)</f>
        <v>2850000</v>
      </c>
      <c r="AI73" s="325">
        <f>SUM(AI69:AI72)</f>
        <v>6800000</v>
      </c>
      <c r="AJ73" s="325">
        <f>SUM(AJ69:AJ72)</f>
        <v>8300000</v>
      </c>
      <c r="AK73" s="33"/>
      <c r="AL73" s="7"/>
      <c r="AM73" s="33"/>
      <c r="AN73" s="7"/>
      <c r="AO73" s="33"/>
      <c r="AP73" s="33"/>
      <c r="AQ73" s="7"/>
      <c r="AR73" s="7"/>
      <c r="AS73" s="7"/>
      <c r="AT73" s="33"/>
      <c r="AU73" s="33"/>
      <c r="AV73" s="7"/>
      <c r="AW73" s="33"/>
      <c r="AX73" s="33"/>
      <c r="AY73" s="7"/>
      <c r="AZ73" s="33"/>
      <c r="BA73" s="33"/>
      <c r="BB73" s="7"/>
      <c r="BC73" s="33"/>
      <c r="BD73" s="7"/>
      <c r="BE73" s="33"/>
      <c r="BF73" s="7"/>
      <c r="BG73" s="33"/>
      <c r="BH73" s="7"/>
      <c r="BI73" s="33"/>
      <c r="BJ73" s="7"/>
      <c r="BK73" s="33"/>
      <c r="BL73" s="7"/>
      <c r="BM73" s="33"/>
      <c r="BN73" s="7"/>
      <c r="BO73" s="33"/>
      <c r="BP73" s="14"/>
      <c r="BQ73" s="14"/>
      <c r="BR73" s="7"/>
      <c r="BS73" s="7"/>
      <c r="BT73" s="7"/>
      <c r="BU73" s="15"/>
      <c r="BV73" s="15"/>
      <c r="BW73" s="300"/>
      <c r="BX73" s="300"/>
      <c r="BY73" s="33"/>
      <c r="BZ73" s="36"/>
    </row>
    <row r="74" spans="1:79" s="1" customFormat="1" ht="15" customHeight="1">
      <c r="A74" s="12"/>
      <c r="B74" s="24"/>
      <c r="C74" s="24"/>
      <c r="D74" s="24"/>
      <c r="E74" s="3"/>
      <c r="F74" s="9"/>
      <c r="G74" s="10"/>
      <c r="H74" s="3"/>
      <c r="I74" s="3"/>
      <c r="J74" s="3"/>
      <c r="K74" s="11"/>
      <c r="L74" s="11"/>
      <c r="M74" s="11"/>
      <c r="N74" s="11"/>
      <c r="O74" s="11"/>
      <c r="P74" s="11"/>
      <c r="Q74" s="12"/>
      <c r="R74" s="12"/>
      <c r="S74" s="12"/>
      <c r="T74" s="12"/>
      <c r="U74" s="12"/>
      <c r="V74" s="13"/>
      <c r="W74" s="34"/>
      <c r="X74" s="24"/>
      <c r="Y74" s="110"/>
      <c r="Z74" s="33"/>
      <c r="AA74" s="33"/>
      <c r="AB74" s="7"/>
      <c r="AC74" s="33"/>
      <c r="AD74" s="33"/>
      <c r="AE74" s="33"/>
      <c r="AF74" s="7"/>
      <c r="AG74" s="33"/>
      <c r="AH74" s="33"/>
      <c r="AI74" s="33"/>
      <c r="AJ74" s="33"/>
      <c r="AK74" s="33"/>
      <c r="AL74" s="7"/>
      <c r="AM74" s="33"/>
      <c r="AN74" s="7"/>
      <c r="AO74" s="33"/>
      <c r="AP74" s="33"/>
      <c r="AQ74" s="7"/>
      <c r="AR74" s="7"/>
      <c r="AS74" s="7"/>
      <c r="AT74" s="33"/>
      <c r="AU74" s="33"/>
      <c r="AV74" s="7"/>
      <c r="AW74" s="33"/>
      <c r="AX74" s="33"/>
      <c r="AY74" s="7"/>
      <c r="AZ74" s="33"/>
      <c r="BA74" s="33"/>
      <c r="BB74" s="7"/>
      <c r="BC74" s="33"/>
      <c r="BD74" s="7"/>
      <c r="BE74" s="33"/>
      <c r="BF74" s="7"/>
      <c r="BG74" s="33"/>
      <c r="BH74" s="7"/>
      <c r="BI74" s="33"/>
      <c r="BJ74" s="7"/>
      <c r="BK74" s="33"/>
      <c r="BL74" s="7"/>
      <c r="BM74" s="33"/>
      <c r="BN74" s="7"/>
      <c r="BO74" s="33"/>
      <c r="BP74" s="14"/>
      <c r="BQ74" s="14"/>
      <c r="BR74" s="7"/>
      <c r="BS74" s="7"/>
      <c r="BT74" s="7"/>
      <c r="BU74" s="15"/>
      <c r="BV74" s="15"/>
      <c r="BW74" s="300"/>
      <c r="BX74" s="300"/>
      <c r="BY74" s="33"/>
      <c r="BZ74" s="36"/>
    </row>
    <row r="75" spans="1:79" s="1" customFormat="1" ht="31.5" customHeight="1">
      <c r="A75" s="12" t="s">
        <v>7</v>
      </c>
      <c r="B75" s="24" t="s">
        <v>62</v>
      </c>
      <c r="C75" s="24" t="s">
        <v>227</v>
      </c>
      <c r="D75" s="24" t="s">
        <v>13</v>
      </c>
      <c r="E75" s="3">
        <v>255005</v>
      </c>
      <c r="F75" s="9" t="s">
        <v>13</v>
      </c>
      <c r="G75" s="10" t="s">
        <v>13</v>
      </c>
      <c r="H75" s="3">
        <v>4</v>
      </c>
      <c r="I75" s="3">
        <v>36</v>
      </c>
      <c r="J75" s="3">
        <v>1405</v>
      </c>
      <c r="K75" s="3" t="s">
        <v>186</v>
      </c>
      <c r="L75" s="3" t="s">
        <v>189</v>
      </c>
      <c r="M75" s="11" t="s">
        <v>187</v>
      </c>
      <c r="N75" s="11" t="s">
        <v>187</v>
      </c>
      <c r="O75" s="11" t="s">
        <v>193</v>
      </c>
      <c r="P75" s="3" t="s">
        <v>188</v>
      </c>
      <c r="Q75" s="12" t="s">
        <v>110</v>
      </c>
      <c r="R75" s="12" t="s">
        <v>222</v>
      </c>
      <c r="S75" s="12"/>
      <c r="T75" s="12" t="s">
        <v>36</v>
      </c>
      <c r="U75" s="12" t="s">
        <v>13</v>
      </c>
      <c r="V75" s="25" t="s">
        <v>69</v>
      </c>
      <c r="W75" s="111" t="s">
        <v>97</v>
      </c>
      <c r="X75" s="35" t="s">
        <v>174</v>
      </c>
      <c r="Y75" s="110" t="s">
        <v>37</v>
      </c>
      <c r="Z75" s="33">
        <v>3500000</v>
      </c>
      <c r="AA75" s="33"/>
      <c r="AB75" s="7">
        <f>Z75+AA75</f>
        <v>3500000</v>
      </c>
      <c r="AC75" s="33"/>
      <c r="AD75" s="33">
        <f>AB75+AC75</f>
        <v>3500000</v>
      </c>
      <c r="AE75" s="33"/>
      <c r="AF75" s="7">
        <f>+AD75+AE75</f>
        <v>3500000</v>
      </c>
      <c r="AG75" s="33"/>
      <c r="AH75" s="33">
        <v>12452208</v>
      </c>
      <c r="AI75" s="33">
        <f>14000000+20000000</f>
        <v>34000000</v>
      </c>
      <c r="AJ75" s="33">
        <f>14000000+50000000+36738204+13702529-20000000</f>
        <v>94440733</v>
      </c>
      <c r="AK75" s="33"/>
      <c r="AL75" s="7">
        <f>AK75</f>
        <v>0</v>
      </c>
      <c r="AM75" s="33">
        <v>4737.54</v>
      </c>
      <c r="AN75" s="7">
        <f>AM75</f>
        <v>4737.54</v>
      </c>
      <c r="AO75" s="33">
        <v>-4737.54</v>
      </c>
      <c r="AP75" s="33">
        <v>0</v>
      </c>
      <c r="AQ75" s="7">
        <f>AO75+AP75</f>
        <v>-4737.54</v>
      </c>
      <c r="AR75" s="7">
        <f>AK75+AM75+AO75</f>
        <v>0</v>
      </c>
      <c r="AS75" s="7">
        <f>AL75+AN75+AQ75</f>
        <v>0</v>
      </c>
      <c r="AT75" s="33"/>
      <c r="AU75" s="33"/>
      <c r="AV75" s="7">
        <f>AT75+AU75</f>
        <v>0</v>
      </c>
      <c r="AW75" s="33"/>
      <c r="AX75" s="33"/>
      <c r="AY75" s="7">
        <f>AW75+AX75</f>
        <v>0</v>
      </c>
      <c r="AZ75" s="33">
        <v>9997.5</v>
      </c>
      <c r="BA75" s="33">
        <v>1399.65</v>
      </c>
      <c r="BB75" s="7">
        <f>AZ75+BA75</f>
        <v>11397.15</v>
      </c>
      <c r="BC75" s="33"/>
      <c r="BD75" s="7">
        <f>BC75</f>
        <v>0</v>
      </c>
      <c r="BE75" s="33"/>
      <c r="BF75" s="7">
        <f>BE75</f>
        <v>0</v>
      </c>
      <c r="BG75" s="33"/>
      <c r="BH75" s="7">
        <f>BG75</f>
        <v>0</v>
      </c>
      <c r="BI75" s="33"/>
      <c r="BJ75" s="7">
        <f>BI75</f>
        <v>0</v>
      </c>
      <c r="BK75" s="33"/>
      <c r="BL75" s="7">
        <f>BK75</f>
        <v>0</v>
      </c>
      <c r="BM75" s="33"/>
      <c r="BN75" s="7">
        <f>BM75</f>
        <v>0</v>
      </c>
      <c r="BO75" s="33"/>
      <c r="BP75" s="14">
        <f>AK75+AM75+AO75+AT75+AW75+AZ75+BC75+BE75+BG75+BI75+BK75+BM75</f>
        <v>9997.5</v>
      </c>
      <c r="BQ75" s="14">
        <f>AL75+AN75+AQ75+AV75+AY75+BB75</f>
        <v>11397.15</v>
      </c>
      <c r="BR75" s="7"/>
      <c r="BS75" s="7">
        <f>AD75-BP75</f>
        <v>3490002.5</v>
      </c>
      <c r="BT75" s="7">
        <f>AD75-BQ75</f>
        <v>3488602.85</v>
      </c>
      <c r="BU75" s="15">
        <f>BP75/AD75</f>
        <v>2.8564285714285714E-3</v>
      </c>
      <c r="BV75" s="15">
        <f>BQ75/AD75</f>
        <v>3.2563285714285713E-3</v>
      </c>
      <c r="BW75" s="33">
        <v>73047792</v>
      </c>
      <c r="BX75" s="33"/>
      <c r="BY75" s="33"/>
      <c r="BZ75" s="36"/>
      <c r="CA75" s="317">
        <f>+AF75+AH75+AI75+AJ75</f>
        <v>144392941</v>
      </c>
    </row>
    <row r="76" spans="1:79" s="1" customFormat="1" ht="31.5" customHeight="1">
      <c r="A76" s="12" t="s">
        <v>7</v>
      </c>
      <c r="B76" s="24" t="s">
        <v>62</v>
      </c>
      <c r="C76" s="24" t="s">
        <v>227</v>
      </c>
      <c r="D76" s="24"/>
      <c r="E76" s="3">
        <v>255005</v>
      </c>
      <c r="F76" s="9" t="s">
        <v>13</v>
      </c>
      <c r="G76" s="10" t="s">
        <v>13</v>
      </c>
      <c r="H76" s="3">
        <v>4</v>
      </c>
      <c r="I76" s="3">
        <v>35</v>
      </c>
      <c r="J76" s="3">
        <v>1411</v>
      </c>
      <c r="K76" s="3" t="s">
        <v>186</v>
      </c>
      <c r="L76" s="3" t="s">
        <v>189</v>
      </c>
      <c r="M76" s="11" t="s">
        <v>187</v>
      </c>
      <c r="N76" s="11" t="s">
        <v>187</v>
      </c>
      <c r="O76" s="11" t="s">
        <v>193</v>
      </c>
      <c r="P76" s="3" t="s">
        <v>188</v>
      </c>
      <c r="Q76" s="12" t="s">
        <v>110</v>
      </c>
      <c r="R76" s="12" t="s">
        <v>222</v>
      </c>
      <c r="S76" s="12"/>
      <c r="T76" s="12" t="s">
        <v>36</v>
      </c>
      <c r="U76" s="12" t="s">
        <v>13</v>
      </c>
      <c r="V76" s="25" t="s">
        <v>69</v>
      </c>
      <c r="W76" s="34"/>
      <c r="X76" s="35" t="s">
        <v>174</v>
      </c>
      <c r="Y76" s="110" t="s">
        <v>38</v>
      </c>
      <c r="Z76" s="33">
        <v>0</v>
      </c>
      <c r="AA76" s="33"/>
      <c r="AB76" s="7">
        <f>Z76+AA76</f>
        <v>0</v>
      </c>
      <c r="AC76" s="33"/>
      <c r="AD76" s="33">
        <f>AB76+AC76</f>
        <v>0</v>
      </c>
      <c r="AE76" s="33"/>
      <c r="AF76" s="7">
        <f>+AD76+AE76</f>
        <v>0</v>
      </c>
      <c r="AG76" s="33"/>
      <c r="AH76" s="33">
        <v>0</v>
      </c>
      <c r="AI76" s="33">
        <v>6000000</v>
      </c>
      <c r="AJ76" s="33">
        <v>0</v>
      </c>
      <c r="AK76" s="33"/>
      <c r="AL76" s="7">
        <f>AK76</f>
        <v>0</v>
      </c>
      <c r="AM76" s="33"/>
      <c r="AN76" s="7">
        <f>AM76</f>
        <v>0</v>
      </c>
      <c r="AO76" s="33"/>
      <c r="AP76" s="33"/>
      <c r="AQ76" s="7">
        <f>AO76+AP76</f>
        <v>0</v>
      </c>
      <c r="AR76" s="7">
        <f>AK76+AM76+AO76</f>
        <v>0</v>
      </c>
      <c r="AS76" s="7">
        <f>AL76+AN76+AQ76</f>
        <v>0</v>
      </c>
      <c r="AT76" s="33"/>
      <c r="AU76" s="33"/>
      <c r="AV76" s="7">
        <f>AT76+AU76</f>
        <v>0</v>
      </c>
      <c r="AW76" s="33"/>
      <c r="AX76" s="33"/>
      <c r="AY76" s="7">
        <f>AW76+AX76</f>
        <v>0</v>
      </c>
      <c r="AZ76" s="33"/>
      <c r="BA76" s="33"/>
      <c r="BB76" s="7">
        <f>AZ76+BA76</f>
        <v>0</v>
      </c>
      <c r="BC76" s="33"/>
      <c r="BD76" s="7">
        <f>BC76</f>
        <v>0</v>
      </c>
      <c r="BE76" s="33"/>
      <c r="BF76" s="7">
        <f>BE76</f>
        <v>0</v>
      </c>
      <c r="BG76" s="33"/>
      <c r="BH76" s="7">
        <f>BG76</f>
        <v>0</v>
      </c>
      <c r="BI76" s="33"/>
      <c r="BJ76" s="7">
        <f>BI76</f>
        <v>0</v>
      </c>
      <c r="BK76" s="33"/>
      <c r="BL76" s="7">
        <f>BK76</f>
        <v>0</v>
      </c>
      <c r="BM76" s="33"/>
      <c r="BN76" s="7">
        <f>BM76</f>
        <v>0</v>
      </c>
      <c r="BO76" s="33"/>
      <c r="BP76" s="14">
        <f>AK76+AM76+AO76+AT76+AW76+AZ76+BC76+BE76+BG76+BI76+BK76+BM76</f>
        <v>0</v>
      </c>
      <c r="BQ76" s="14">
        <f>AL76+AN76+AQ76+AV76+AY76+BB76</f>
        <v>0</v>
      </c>
      <c r="BR76" s="7"/>
      <c r="BS76" s="7">
        <f>AD76-BP76</f>
        <v>0</v>
      </c>
      <c r="BT76" s="7">
        <f>AD76-BQ76</f>
        <v>0</v>
      </c>
      <c r="BU76" s="15" t="e">
        <f>BP76/AD76</f>
        <v>#DIV/0!</v>
      </c>
      <c r="BV76" s="15" t="e">
        <f>BQ76/AD76</f>
        <v>#DIV/0!</v>
      </c>
      <c r="BW76" s="300"/>
      <c r="BX76" s="300"/>
      <c r="BY76" s="33"/>
      <c r="BZ76" s="36"/>
    </row>
    <row r="77" spans="1:79" s="1" customFormat="1" ht="31.5" customHeight="1">
      <c r="A77" s="12" t="s">
        <v>7</v>
      </c>
      <c r="B77" s="24" t="s">
        <v>62</v>
      </c>
      <c r="C77" s="24" t="s">
        <v>227</v>
      </c>
      <c r="D77" s="24"/>
      <c r="E77" s="3">
        <v>255005</v>
      </c>
      <c r="F77" s="9"/>
      <c r="G77" s="10"/>
      <c r="H77" s="3"/>
      <c r="I77" s="3"/>
      <c r="J77" s="3"/>
      <c r="K77" s="3"/>
      <c r="L77" s="3"/>
      <c r="M77" s="11"/>
      <c r="N77" s="11"/>
      <c r="O77" s="11"/>
      <c r="P77" s="3"/>
      <c r="Q77" s="12"/>
      <c r="R77" s="12"/>
      <c r="S77" s="12"/>
      <c r="T77" s="12"/>
      <c r="U77" s="12"/>
      <c r="V77" s="25"/>
      <c r="W77" s="34"/>
      <c r="X77" s="24" t="s">
        <v>463</v>
      </c>
      <c r="Y77" s="110" t="s">
        <v>38</v>
      </c>
      <c r="Z77" s="33"/>
      <c r="AA77" s="33"/>
      <c r="AB77" s="7"/>
      <c r="AC77" s="33"/>
      <c r="AD77" s="33"/>
      <c r="AE77" s="33"/>
      <c r="AF77" s="7"/>
      <c r="AG77" s="33"/>
      <c r="AH77" s="33">
        <v>1250000</v>
      </c>
      <c r="AI77" s="33">
        <v>100190955</v>
      </c>
      <c r="AJ77" s="33">
        <v>33000000</v>
      </c>
      <c r="AK77" s="33"/>
      <c r="AL77" s="7"/>
      <c r="AM77" s="33"/>
      <c r="AN77" s="7"/>
      <c r="AO77" s="33"/>
      <c r="AP77" s="33"/>
      <c r="AQ77" s="7"/>
      <c r="AR77" s="7"/>
      <c r="AS77" s="7"/>
      <c r="AT77" s="33"/>
      <c r="AU77" s="33"/>
      <c r="AV77" s="7"/>
      <c r="AW77" s="33"/>
      <c r="AX77" s="33"/>
      <c r="AY77" s="7"/>
      <c r="AZ77" s="33"/>
      <c r="BA77" s="33"/>
      <c r="BB77" s="7"/>
      <c r="BC77" s="33"/>
      <c r="BD77" s="7"/>
      <c r="BE77" s="33"/>
      <c r="BF77" s="7"/>
      <c r="BG77" s="33"/>
      <c r="BH77" s="7"/>
      <c r="BI77" s="33"/>
      <c r="BJ77" s="7"/>
      <c r="BK77" s="33"/>
      <c r="BL77" s="7"/>
      <c r="BM77" s="33"/>
      <c r="BN77" s="7"/>
      <c r="BO77" s="33"/>
      <c r="BP77" s="14"/>
      <c r="BQ77" s="14"/>
      <c r="BR77" s="7"/>
      <c r="BS77" s="7"/>
      <c r="BT77" s="7"/>
      <c r="BU77" s="15"/>
      <c r="BV77" s="15"/>
      <c r="BW77" s="300"/>
      <c r="BX77" s="300"/>
      <c r="BY77" s="33"/>
      <c r="BZ77" s="36"/>
    </row>
    <row r="78" spans="1:79" s="1" customFormat="1" ht="17.100000000000001" customHeight="1" thickBot="1">
      <c r="A78" s="12"/>
      <c r="B78" s="24"/>
      <c r="C78" s="24"/>
      <c r="D78" s="24"/>
      <c r="E78" s="3"/>
      <c r="F78" s="9"/>
      <c r="G78" s="10"/>
      <c r="H78" s="3"/>
      <c r="I78" s="3"/>
      <c r="J78" s="3"/>
      <c r="K78" s="3"/>
      <c r="L78" s="3"/>
      <c r="M78" s="11"/>
      <c r="N78" s="11"/>
      <c r="O78" s="11"/>
      <c r="P78" s="3"/>
      <c r="Q78" s="12"/>
      <c r="R78" s="12"/>
      <c r="S78" s="12"/>
      <c r="T78" s="12"/>
      <c r="U78" s="12"/>
      <c r="V78" s="25"/>
      <c r="W78" s="34"/>
      <c r="X78" s="24"/>
      <c r="Y78" s="110"/>
      <c r="Z78" s="33"/>
      <c r="AA78" s="33"/>
      <c r="AB78" s="7"/>
      <c r="AC78" s="33"/>
      <c r="AD78" s="33"/>
      <c r="AE78" s="33"/>
      <c r="AF78" s="7"/>
      <c r="AG78" s="33"/>
      <c r="AH78" s="325">
        <f>SUM(AH75:AH77)</f>
        <v>13702208</v>
      </c>
      <c r="AI78" s="325">
        <f>SUM(AI75:AI77)</f>
        <v>140190955</v>
      </c>
      <c r="AJ78" s="325">
        <f>SUM(AJ75:AJ77)</f>
        <v>127440733</v>
      </c>
      <c r="AK78" s="33"/>
      <c r="AL78" s="7"/>
      <c r="AM78" s="33"/>
      <c r="AN78" s="7"/>
      <c r="AO78" s="33"/>
      <c r="AP78" s="33"/>
      <c r="AQ78" s="7"/>
      <c r="AR78" s="7"/>
      <c r="AS78" s="7"/>
      <c r="AT78" s="33"/>
      <c r="AU78" s="33"/>
      <c r="AV78" s="7"/>
      <c r="AW78" s="33"/>
      <c r="AX78" s="33"/>
      <c r="AY78" s="7"/>
      <c r="AZ78" s="33"/>
      <c r="BA78" s="33"/>
      <c r="BB78" s="7"/>
      <c r="BC78" s="33"/>
      <c r="BD78" s="7"/>
      <c r="BE78" s="33"/>
      <c r="BF78" s="7"/>
      <c r="BG78" s="33"/>
      <c r="BH78" s="7"/>
      <c r="BI78" s="33"/>
      <c r="BJ78" s="7"/>
      <c r="BK78" s="33"/>
      <c r="BL78" s="7"/>
      <c r="BM78" s="33"/>
      <c r="BN78" s="7"/>
      <c r="BO78" s="33"/>
      <c r="BP78" s="14"/>
      <c r="BQ78" s="14"/>
      <c r="BR78" s="7"/>
      <c r="BS78" s="7"/>
      <c r="BT78" s="7"/>
      <c r="BU78" s="15"/>
      <c r="BV78" s="15"/>
      <c r="BW78" s="300"/>
      <c r="BX78" s="300"/>
      <c r="BY78" s="33"/>
      <c r="BZ78" s="36"/>
    </row>
    <row r="79" spans="1:79" s="1" customFormat="1" ht="15" customHeight="1">
      <c r="A79" s="12"/>
      <c r="B79" s="24"/>
      <c r="C79" s="24"/>
      <c r="D79" s="24"/>
      <c r="E79" s="3"/>
      <c r="F79" s="9"/>
      <c r="G79" s="10"/>
      <c r="H79" s="3"/>
      <c r="I79" s="3"/>
      <c r="J79" s="3"/>
      <c r="K79" s="3"/>
      <c r="L79" s="3"/>
      <c r="M79" s="11"/>
      <c r="N79" s="11"/>
      <c r="O79" s="11"/>
      <c r="P79" s="3"/>
      <c r="Q79" s="12"/>
      <c r="R79" s="12"/>
      <c r="S79" s="12"/>
      <c r="T79" s="12"/>
      <c r="U79" s="12"/>
      <c r="V79" s="25"/>
      <c r="W79" s="34"/>
      <c r="X79" s="24"/>
      <c r="Y79" s="110"/>
      <c r="Z79" s="33"/>
      <c r="AA79" s="33"/>
      <c r="AB79" s="7"/>
      <c r="AC79" s="33"/>
      <c r="AD79" s="33"/>
      <c r="AE79" s="33"/>
      <c r="AF79" s="7"/>
      <c r="AG79" s="33"/>
      <c r="AH79" s="33"/>
      <c r="AI79" s="33"/>
      <c r="AJ79" s="33"/>
      <c r="AK79" s="33"/>
      <c r="AL79" s="7"/>
      <c r="AM79" s="33"/>
      <c r="AN79" s="7"/>
      <c r="AO79" s="33"/>
      <c r="AP79" s="33"/>
      <c r="AQ79" s="7"/>
      <c r="AR79" s="7"/>
      <c r="AS79" s="7"/>
      <c r="AT79" s="33"/>
      <c r="AU79" s="33"/>
      <c r="AV79" s="7"/>
      <c r="AW79" s="33"/>
      <c r="AX79" s="33"/>
      <c r="AY79" s="7"/>
      <c r="AZ79" s="33"/>
      <c r="BA79" s="33"/>
      <c r="BB79" s="7"/>
      <c r="BC79" s="33"/>
      <c r="BD79" s="7"/>
      <c r="BE79" s="33"/>
      <c r="BF79" s="7"/>
      <c r="BG79" s="33"/>
      <c r="BH79" s="7"/>
      <c r="BI79" s="33"/>
      <c r="BJ79" s="7"/>
      <c r="BK79" s="33"/>
      <c r="BL79" s="7"/>
      <c r="BM79" s="33"/>
      <c r="BN79" s="7"/>
      <c r="BO79" s="33"/>
      <c r="BP79" s="14"/>
      <c r="BQ79" s="14"/>
      <c r="BR79" s="7"/>
      <c r="BS79" s="7"/>
      <c r="BT79" s="7"/>
      <c r="BU79" s="15"/>
      <c r="BV79" s="15"/>
      <c r="BW79" s="300"/>
      <c r="BX79" s="300"/>
      <c r="BY79" s="33"/>
      <c r="BZ79" s="36"/>
    </row>
    <row r="80" spans="1:79" s="1" customFormat="1" ht="49.5" customHeight="1">
      <c r="A80" s="12" t="s">
        <v>7</v>
      </c>
      <c r="B80" s="24" t="s">
        <v>62</v>
      </c>
      <c r="C80" s="24" t="s">
        <v>227</v>
      </c>
      <c r="D80" s="24"/>
      <c r="E80" s="3">
        <v>255005</v>
      </c>
      <c r="F80" s="9" t="s">
        <v>13</v>
      </c>
      <c r="G80" s="10" t="s">
        <v>13</v>
      </c>
      <c r="H80" s="3">
        <v>4</v>
      </c>
      <c r="I80" s="3">
        <v>35</v>
      </c>
      <c r="J80" s="3">
        <v>1412</v>
      </c>
      <c r="K80" s="3" t="s">
        <v>186</v>
      </c>
      <c r="L80" s="3" t="s">
        <v>189</v>
      </c>
      <c r="M80" s="11" t="s">
        <v>187</v>
      </c>
      <c r="N80" s="11" t="s">
        <v>187</v>
      </c>
      <c r="O80" s="11" t="s">
        <v>193</v>
      </c>
      <c r="P80" s="3" t="s">
        <v>188</v>
      </c>
      <c r="Q80" s="12" t="s">
        <v>110</v>
      </c>
      <c r="R80" s="12" t="s">
        <v>222</v>
      </c>
      <c r="S80" s="12"/>
      <c r="T80" s="12" t="s">
        <v>36</v>
      </c>
      <c r="U80" s="12" t="s">
        <v>13</v>
      </c>
      <c r="V80" s="25" t="s">
        <v>69</v>
      </c>
      <c r="W80" s="34"/>
      <c r="X80" s="35" t="s">
        <v>175</v>
      </c>
      <c r="Y80" s="110" t="s">
        <v>38</v>
      </c>
      <c r="Z80" s="33">
        <v>0</v>
      </c>
      <c r="AA80" s="33"/>
      <c r="AB80" s="7">
        <f>Z80+AA80</f>
        <v>0</v>
      </c>
      <c r="AC80" s="33"/>
      <c r="AD80" s="33">
        <f>AB80+AC80</f>
        <v>0</v>
      </c>
      <c r="AE80" s="33"/>
      <c r="AF80" s="7">
        <f>+AD80+AE80</f>
        <v>0</v>
      </c>
      <c r="AG80" s="33"/>
      <c r="AH80" s="33">
        <v>6500000</v>
      </c>
      <c r="AI80" s="33">
        <v>10000000</v>
      </c>
      <c r="AJ80" s="33">
        <v>0</v>
      </c>
      <c r="AK80" s="33"/>
      <c r="AL80" s="7">
        <f>AK80</f>
        <v>0</v>
      </c>
      <c r="AM80" s="33"/>
      <c r="AN80" s="7">
        <f>AM80</f>
        <v>0</v>
      </c>
      <c r="AO80" s="33"/>
      <c r="AP80" s="33"/>
      <c r="AQ80" s="7">
        <f>AO80+AP80</f>
        <v>0</v>
      </c>
      <c r="AR80" s="7">
        <f>AK80+AM80+AO80</f>
        <v>0</v>
      </c>
      <c r="AS80" s="7">
        <f>AL80+AN80+AQ80</f>
        <v>0</v>
      </c>
      <c r="AT80" s="33"/>
      <c r="AU80" s="33"/>
      <c r="AV80" s="7">
        <f>AT80+AU80</f>
        <v>0</v>
      </c>
      <c r="AW80" s="33"/>
      <c r="AX80" s="33"/>
      <c r="AY80" s="7">
        <f>AW80+AX80</f>
        <v>0</v>
      </c>
      <c r="AZ80" s="33"/>
      <c r="BA80" s="33"/>
      <c r="BB80" s="7">
        <f>AZ80+BA80</f>
        <v>0</v>
      </c>
      <c r="BC80" s="33"/>
      <c r="BD80" s="7">
        <f>BC80</f>
        <v>0</v>
      </c>
      <c r="BE80" s="33"/>
      <c r="BF80" s="7">
        <f>BE80</f>
        <v>0</v>
      </c>
      <c r="BG80" s="33"/>
      <c r="BH80" s="7">
        <f>BG80</f>
        <v>0</v>
      </c>
      <c r="BI80" s="33"/>
      <c r="BJ80" s="7">
        <f>BI80</f>
        <v>0</v>
      </c>
      <c r="BK80" s="33"/>
      <c r="BL80" s="7">
        <f>BK80</f>
        <v>0</v>
      </c>
      <c r="BM80" s="33"/>
      <c r="BN80" s="7">
        <f>BM80</f>
        <v>0</v>
      </c>
      <c r="BO80" s="33"/>
      <c r="BP80" s="14">
        <f>AK80+AM80+AO80+AT80+AW80+AZ80+BC80+BE80+BG80+BI80+BK80+BM80</f>
        <v>0</v>
      </c>
      <c r="BQ80" s="14">
        <f>AL80+AN80+AQ80+AV80+AY80+BB80</f>
        <v>0</v>
      </c>
      <c r="BR80" s="7"/>
      <c r="BS80" s="7">
        <f>AD80-BP80</f>
        <v>0</v>
      </c>
      <c r="BT80" s="7">
        <f>AD80-BQ80</f>
        <v>0</v>
      </c>
      <c r="BU80" s="15" t="e">
        <f>BP80/AD80</f>
        <v>#DIV/0!</v>
      </c>
      <c r="BV80" s="15" t="e">
        <f>BQ80/AD80</f>
        <v>#DIV/0!</v>
      </c>
      <c r="BW80" s="300"/>
      <c r="BX80" s="300"/>
      <c r="BY80" s="33"/>
      <c r="BZ80" s="36"/>
    </row>
    <row r="81" spans="1:78" s="1" customFormat="1" ht="47.25" customHeight="1">
      <c r="A81" s="12" t="s">
        <v>7</v>
      </c>
      <c r="B81" s="24" t="s">
        <v>62</v>
      </c>
      <c r="C81" s="24" t="s">
        <v>227</v>
      </c>
      <c r="D81" s="24" t="s">
        <v>13</v>
      </c>
      <c r="E81" s="3">
        <v>255005</v>
      </c>
      <c r="F81" s="9" t="s">
        <v>13</v>
      </c>
      <c r="G81" s="10" t="s">
        <v>13</v>
      </c>
      <c r="H81" s="3">
        <v>4</v>
      </c>
      <c r="I81" s="3">
        <v>36</v>
      </c>
      <c r="J81" s="3">
        <v>1406</v>
      </c>
      <c r="K81" s="3" t="s">
        <v>186</v>
      </c>
      <c r="L81" s="3" t="s">
        <v>189</v>
      </c>
      <c r="M81" s="11" t="s">
        <v>187</v>
      </c>
      <c r="N81" s="11" t="s">
        <v>187</v>
      </c>
      <c r="O81" s="11" t="s">
        <v>193</v>
      </c>
      <c r="P81" s="3" t="s">
        <v>188</v>
      </c>
      <c r="Q81" s="12" t="s">
        <v>110</v>
      </c>
      <c r="R81" s="12" t="s">
        <v>222</v>
      </c>
      <c r="S81" s="12"/>
      <c r="T81" s="12" t="s">
        <v>36</v>
      </c>
      <c r="U81" s="12" t="s">
        <v>13</v>
      </c>
      <c r="V81" s="25" t="s">
        <v>69</v>
      </c>
      <c r="W81" s="111" t="s">
        <v>96</v>
      </c>
      <c r="X81" s="35" t="s">
        <v>175</v>
      </c>
      <c r="Y81" s="110" t="s">
        <v>37</v>
      </c>
      <c r="Z81" s="33">
        <v>3500000</v>
      </c>
      <c r="AA81" s="33"/>
      <c r="AB81" s="7">
        <f>Z81+AA81</f>
        <v>3500000</v>
      </c>
      <c r="AC81" s="33"/>
      <c r="AD81" s="33">
        <f>AB81+AC81</f>
        <v>3500000</v>
      </c>
      <c r="AE81" s="33">
        <v>-2500000</v>
      </c>
      <c r="AF81" s="7">
        <f>+AD81+AE81</f>
        <v>1000000</v>
      </c>
      <c r="AG81" s="33"/>
      <c r="AH81" s="33">
        <v>5000000</v>
      </c>
      <c r="AI81" s="33">
        <v>10000000</v>
      </c>
      <c r="AJ81" s="33">
        <v>10000000</v>
      </c>
      <c r="AK81" s="33"/>
      <c r="AL81" s="7">
        <f>AK81</f>
        <v>0</v>
      </c>
      <c r="AM81" s="33"/>
      <c r="AN81" s="7">
        <f>AM81</f>
        <v>0</v>
      </c>
      <c r="AO81" s="33"/>
      <c r="AP81" s="33">
        <v>0</v>
      </c>
      <c r="AQ81" s="7">
        <f>AO81+AP81</f>
        <v>0</v>
      </c>
      <c r="AR81" s="7">
        <f>AK81+AM81+AO81</f>
        <v>0</v>
      </c>
      <c r="AS81" s="7">
        <f>AL81+AN81+AQ81</f>
        <v>0</v>
      </c>
      <c r="AT81" s="33">
        <v>-3707.64</v>
      </c>
      <c r="AU81" s="33"/>
      <c r="AV81" s="7">
        <f>AT81+AU81</f>
        <v>-3707.64</v>
      </c>
      <c r="AW81" s="33">
        <v>3707.64</v>
      </c>
      <c r="AX81" s="33"/>
      <c r="AY81" s="7">
        <f>AW81+AX81</f>
        <v>3707.64</v>
      </c>
      <c r="AZ81" s="33">
        <v>2574.75</v>
      </c>
      <c r="BA81" s="33">
        <v>360.46</v>
      </c>
      <c r="BB81" s="7">
        <f>AZ81+BA81</f>
        <v>2935.21</v>
      </c>
      <c r="BC81" s="33"/>
      <c r="BD81" s="7">
        <f>BC81</f>
        <v>0</v>
      </c>
      <c r="BE81" s="33"/>
      <c r="BF81" s="7">
        <f>BE81</f>
        <v>0</v>
      </c>
      <c r="BG81" s="33"/>
      <c r="BH81" s="7">
        <f>BG81</f>
        <v>0</v>
      </c>
      <c r="BI81" s="33"/>
      <c r="BJ81" s="7">
        <f>BI81</f>
        <v>0</v>
      </c>
      <c r="BK81" s="33"/>
      <c r="BL81" s="7">
        <f>BK81</f>
        <v>0</v>
      </c>
      <c r="BM81" s="33"/>
      <c r="BN81" s="7">
        <f>BM81</f>
        <v>0</v>
      </c>
      <c r="BO81" s="33"/>
      <c r="BP81" s="14">
        <f>AK81+AM81+AO81+AT81+AW81+AZ81+BC81+BE81+BG81+BI81+BK81+BM81</f>
        <v>2574.75</v>
      </c>
      <c r="BQ81" s="14">
        <f>AL81+AN81+AQ81+AV81+AY81+BB81</f>
        <v>2935.21</v>
      </c>
      <c r="BR81" s="7"/>
      <c r="BS81" s="7">
        <f>AD81-BP81</f>
        <v>3497425.25</v>
      </c>
      <c r="BT81" s="7">
        <f>AD81-BQ81</f>
        <v>3497064.79</v>
      </c>
      <c r="BU81" s="15">
        <f>BP81/AD81</f>
        <v>7.3564285714285713E-4</v>
      </c>
      <c r="BV81" s="15">
        <f>BQ81/AD81</f>
        <v>8.3863142857142862E-4</v>
      </c>
      <c r="BW81" s="33">
        <v>46000000</v>
      </c>
      <c r="BX81" s="33"/>
      <c r="BY81" s="33"/>
      <c r="BZ81" s="36"/>
    </row>
    <row r="82" spans="1:78" s="1" customFormat="1" ht="46.5" customHeight="1">
      <c r="A82" s="12" t="s">
        <v>7</v>
      </c>
      <c r="B82" s="24"/>
      <c r="C82" s="24" t="s">
        <v>227</v>
      </c>
      <c r="D82" s="24" t="s">
        <v>13</v>
      </c>
      <c r="E82" s="3">
        <v>255005</v>
      </c>
      <c r="F82" s="9" t="s">
        <v>13</v>
      </c>
      <c r="G82" s="10" t="s">
        <v>13</v>
      </c>
      <c r="H82" s="3">
        <v>6</v>
      </c>
      <c r="I82" s="3">
        <v>36</v>
      </c>
      <c r="J82" s="3">
        <v>1417</v>
      </c>
      <c r="K82" s="11" t="s">
        <v>186</v>
      </c>
      <c r="L82" s="11" t="s">
        <v>189</v>
      </c>
      <c r="M82" s="11" t="s">
        <v>187</v>
      </c>
      <c r="N82" s="11" t="s">
        <v>187</v>
      </c>
      <c r="O82" s="11" t="s">
        <v>193</v>
      </c>
      <c r="P82" s="11" t="s">
        <v>259</v>
      </c>
      <c r="Q82" s="12" t="s">
        <v>110</v>
      </c>
      <c r="R82" s="12" t="s">
        <v>222</v>
      </c>
      <c r="S82" s="12"/>
      <c r="T82" s="12"/>
      <c r="U82" s="12"/>
      <c r="V82" s="13"/>
      <c r="W82" s="34"/>
      <c r="X82" s="24" t="s">
        <v>175</v>
      </c>
      <c r="Y82" s="110" t="s">
        <v>285</v>
      </c>
      <c r="Z82" s="33"/>
      <c r="AA82" s="33"/>
      <c r="AB82" s="7">
        <v>0</v>
      </c>
      <c r="AC82" s="33">
        <v>9590</v>
      </c>
      <c r="AD82" s="33">
        <f>AB82+AC82</f>
        <v>9590</v>
      </c>
      <c r="AE82" s="33"/>
      <c r="AF82" s="7">
        <f>+AD82+AE82</f>
        <v>9590</v>
      </c>
      <c r="AG82" s="33"/>
      <c r="AH82" s="33">
        <v>0</v>
      </c>
      <c r="AI82" s="33">
        <v>0</v>
      </c>
      <c r="AJ82" s="33">
        <v>0</v>
      </c>
      <c r="AK82" s="33"/>
      <c r="AL82" s="7"/>
      <c r="AM82" s="33"/>
      <c r="AN82" s="7"/>
      <c r="AO82" s="33"/>
      <c r="AP82" s="33"/>
      <c r="AQ82" s="7"/>
      <c r="AR82" s="7"/>
      <c r="AS82" s="7"/>
      <c r="AT82" s="33"/>
      <c r="AU82" s="33"/>
      <c r="AV82" s="7"/>
      <c r="AW82" s="33"/>
      <c r="AX82" s="33"/>
      <c r="AY82" s="7"/>
      <c r="AZ82" s="33"/>
      <c r="BA82" s="33"/>
      <c r="BB82" s="7">
        <f>AZ82+BA82</f>
        <v>0</v>
      </c>
      <c r="BC82" s="33"/>
      <c r="BD82" s="7"/>
      <c r="BE82" s="33"/>
      <c r="BF82" s="7"/>
      <c r="BG82" s="33"/>
      <c r="BH82" s="7"/>
      <c r="BI82" s="33"/>
      <c r="BJ82" s="7"/>
      <c r="BK82" s="33"/>
      <c r="BL82" s="7"/>
      <c r="BM82" s="33"/>
      <c r="BN82" s="7"/>
      <c r="BO82" s="33"/>
      <c r="BP82" s="14"/>
      <c r="BQ82" s="14">
        <f>AL82+AN82+AQ82+AV82+AY82+BB82</f>
        <v>0</v>
      </c>
      <c r="BR82" s="7"/>
      <c r="BS82" s="7">
        <f>AD82-BP82</f>
        <v>9590</v>
      </c>
      <c r="BT82" s="7">
        <f>AD82-BQ82</f>
        <v>9590</v>
      </c>
      <c r="BU82" s="15">
        <f>BP82/AD82</f>
        <v>0</v>
      </c>
      <c r="BV82" s="15">
        <f>BQ82/AD82</f>
        <v>0</v>
      </c>
      <c r="BW82" s="300"/>
      <c r="BX82" s="300"/>
      <c r="BY82" s="33"/>
      <c r="BZ82" s="36"/>
    </row>
    <row r="83" spans="1:78" s="1" customFormat="1" ht="15" customHeight="1">
      <c r="A83" s="12" t="s">
        <v>7</v>
      </c>
      <c r="B83" s="24" t="s">
        <v>62</v>
      </c>
      <c r="C83" s="24" t="s">
        <v>227</v>
      </c>
      <c r="D83" s="24" t="s">
        <v>13</v>
      </c>
      <c r="E83" s="3">
        <v>255005</v>
      </c>
      <c r="F83" s="9"/>
      <c r="G83" s="10"/>
      <c r="H83" s="3"/>
      <c r="I83" s="3"/>
      <c r="J83" s="3"/>
      <c r="K83" s="11"/>
      <c r="L83" s="11"/>
      <c r="M83" s="11"/>
      <c r="N83" s="11"/>
      <c r="O83" s="11"/>
      <c r="P83" s="11"/>
      <c r="Q83" s="12"/>
      <c r="R83" s="12"/>
      <c r="S83" s="12"/>
      <c r="T83" s="12"/>
      <c r="U83" s="12"/>
      <c r="V83" s="13"/>
      <c r="W83" s="34"/>
      <c r="X83" s="24" t="s">
        <v>465</v>
      </c>
      <c r="Y83" s="110" t="s">
        <v>460</v>
      </c>
      <c r="Z83" s="33"/>
      <c r="AA83" s="33"/>
      <c r="AB83" s="7"/>
      <c r="AC83" s="33"/>
      <c r="AD83" s="33"/>
      <c r="AE83" s="33"/>
      <c r="AF83" s="7"/>
      <c r="AG83" s="33"/>
      <c r="AH83" s="33">
        <v>6000000</v>
      </c>
      <c r="AI83" s="33">
        <v>7000000</v>
      </c>
      <c r="AJ83" s="33">
        <v>33000000</v>
      </c>
      <c r="AK83" s="33"/>
      <c r="AL83" s="7"/>
      <c r="AM83" s="33"/>
      <c r="AN83" s="7"/>
      <c r="AO83" s="33"/>
      <c r="AP83" s="33"/>
      <c r="AQ83" s="7"/>
      <c r="AR83" s="7"/>
      <c r="AS83" s="7"/>
      <c r="AT83" s="33"/>
      <c r="AU83" s="33"/>
      <c r="AV83" s="7"/>
      <c r="AW83" s="33"/>
      <c r="AX83" s="33"/>
      <c r="AY83" s="7"/>
      <c r="AZ83" s="33"/>
      <c r="BA83" s="33"/>
      <c r="BB83" s="7"/>
      <c r="BC83" s="33"/>
      <c r="BD83" s="7"/>
      <c r="BE83" s="33"/>
      <c r="BF83" s="7"/>
      <c r="BG83" s="33"/>
      <c r="BH83" s="7"/>
      <c r="BI83" s="33"/>
      <c r="BJ83" s="7"/>
      <c r="BK83" s="33"/>
      <c r="BL83" s="7"/>
      <c r="BM83" s="33"/>
      <c r="BN83" s="7"/>
      <c r="BO83" s="33"/>
      <c r="BP83" s="14"/>
      <c r="BQ83" s="14"/>
      <c r="BR83" s="7"/>
      <c r="BS83" s="7"/>
      <c r="BT83" s="7"/>
      <c r="BU83" s="15"/>
      <c r="BV83" s="15"/>
      <c r="BW83" s="300"/>
      <c r="BX83" s="300"/>
      <c r="BY83" s="33"/>
      <c r="BZ83" s="36"/>
    </row>
    <row r="84" spans="1:78" s="1" customFormat="1" ht="17.100000000000001" customHeight="1" thickBot="1">
      <c r="A84" s="12"/>
      <c r="B84" s="24"/>
      <c r="C84" s="24"/>
      <c r="D84" s="24"/>
      <c r="E84" s="3"/>
      <c r="F84" s="9"/>
      <c r="G84" s="10"/>
      <c r="H84" s="3"/>
      <c r="I84" s="3"/>
      <c r="J84" s="3"/>
      <c r="K84" s="11"/>
      <c r="L84" s="11"/>
      <c r="M84" s="11"/>
      <c r="N84" s="11"/>
      <c r="O84" s="11"/>
      <c r="P84" s="11"/>
      <c r="Q84" s="12"/>
      <c r="R84" s="12"/>
      <c r="S84" s="12"/>
      <c r="T84" s="12"/>
      <c r="U84" s="12"/>
      <c r="V84" s="13"/>
      <c r="W84" s="34"/>
      <c r="X84" s="24"/>
      <c r="Y84" s="110"/>
      <c r="Z84" s="33"/>
      <c r="AA84" s="33"/>
      <c r="AB84" s="7"/>
      <c r="AC84" s="33"/>
      <c r="AD84" s="33"/>
      <c r="AE84" s="33"/>
      <c r="AF84" s="7"/>
      <c r="AG84" s="33"/>
      <c r="AH84" s="325">
        <f>SUM(AH80:AH83)</f>
        <v>17500000</v>
      </c>
      <c r="AI84" s="325">
        <f>SUM(AI80:AI83)</f>
        <v>27000000</v>
      </c>
      <c r="AJ84" s="325">
        <f>SUM(AJ80:AJ83)</f>
        <v>43000000</v>
      </c>
      <c r="AK84" s="33"/>
      <c r="AL84" s="7"/>
      <c r="AM84" s="33"/>
      <c r="AN84" s="7"/>
      <c r="AO84" s="33"/>
      <c r="AP84" s="33"/>
      <c r="AQ84" s="7"/>
      <c r="AR84" s="7"/>
      <c r="AS84" s="7"/>
      <c r="AT84" s="33"/>
      <c r="AU84" s="33"/>
      <c r="AV84" s="7"/>
      <c r="AW84" s="33"/>
      <c r="AX84" s="33"/>
      <c r="AY84" s="7"/>
      <c r="AZ84" s="33"/>
      <c r="BA84" s="33"/>
      <c r="BB84" s="7"/>
      <c r="BC84" s="33"/>
      <c r="BD84" s="7"/>
      <c r="BE84" s="33"/>
      <c r="BF84" s="7"/>
      <c r="BG84" s="33"/>
      <c r="BH84" s="7"/>
      <c r="BI84" s="33"/>
      <c r="BJ84" s="7"/>
      <c r="BK84" s="33"/>
      <c r="BL84" s="7"/>
      <c r="BM84" s="33"/>
      <c r="BN84" s="7"/>
      <c r="BO84" s="33"/>
      <c r="BP84" s="14"/>
      <c r="BQ84" s="14"/>
      <c r="BR84" s="7"/>
      <c r="BS84" s="7"/>
      <c r="BT84" s="7"/>
      <c r="BU84" s="15"/>
      <c r="BV84" s="15"/>
      <c r="BW84" s="300"/>
      <c r="BX84" s="300"/>
      <c r="BY84" s="33"/>
      <c r="BZ84" s="36"/>
    </row>
    <row r="85" spans="1:78" s="1" customFormat="1" ht="15" customHeight="1">
      <c r="A85" s="12"/>
      <c r="B85" s="24"/>
      <c r="C85" s="24"/>
      <c r="D85" s="24"/>
      <c r="E85" s="3"/>
      <c r="F85" s="9"/>
      <c r="G85" s="10"/>
      <c r="H85" s="3"/>
      <c r="I85" s="3"/>
      <c r="J85" s="3"/>
      <c r="K85" s="11"/>
      <c r="L85" s="11"/>
      <c r="M85" s="11"/>
      <c r="N85" s="11"/>
      <c r="O85" s="11"/>
      <c r="P85" s="11"/>
      <c r="Q85" s="12"/>
      <c r="R85" s="12"/>
      <c r="S85" s="12"/>
      <c r="T85" s="12"/>
      <c r="U85" s="12"/>
      <c r="V85" s="13"/>
      <c r="W85" s="34"/>
      <c r="X85" s="24"/>
      <c r="Y85" s="110"/>
      <c r="Z85" s="33"/>
      <c r="AA85" s="33"/>
      <c r="AB85" s="7"/>
      <c r="AC85" s="33"/>
      <c r="AD85" s="33"/>
      <c r="AE85" s="33"/>
      <c r="AF85" s="7"/>
      <c r="AG85" s="33"/>
      <c r="AH85" s="33"/>
      <c r="AI85" s="33"/>
      <c r="AJ85" s="33"/>
      <c r="AK85" s="33"/>
      <c r="AL85" s="7"/>
      <c r="AM85" s="33"/>
      <c r="AN85" s="7"/>
      <c r="AO85" s="33"/>
      <c r="AP85" s="33"/>
      <c r="AQ85" s="7"/>
      <c r="AR85" s="7"/>
      <c r="AS85" s="7"/>
      <c r="AT85" s="33"/>
      <c r="AU85" s="33"/>
      <c r="AV85" s="7"/>
      <c r="AW85" s="33"/>
      <c r="AX85" s="33"/>
      <c r="AY85" s="7"/>
      <c r="AZ85" s="33"/>
      <c r="BA85" s="33"/>
      <c r="BB85" s="7"/>
      <c r="BC85" s="33"/>
      <c r="BD85" s="7"/>
      <c r="BE85" s="33"/>
      <c r="BF85" s="7"/>
      <c r="BG85" s="33"/>
      <c r="BH85" s="7"/>
      <c r="BI85" s="33"/>
      <c r="BJ85" s="7"/>
      <c r="BK85" s="33"/>
      <c r="BL85" s="7"/>
      <c r="BM85" s="33"/>
      <c r="BN85" s="7"/>
      <c r="BO85" s="33"/>
      <c r="BP85" s="14"/>
      <c r="BQ85" s="14"/>
      <c r="BR85" s="7"/>
      <c r="BS85" s="7"/>
      <c r="BT85" s="7"/>
      <c r="BU85" s="15"/>
      <c r="BV85" s="15"/>
      <c r="BW85" s="300"/>
      <c r="BX85" s="300"/>
      <c r="BY85" s="33"/>
      <c r="BZ85" s="36"/>
    </row>
    <row r="86" spans="1:78" s="1" customFormat="1" ht="15" customHeight="1">
      <c r="A86" s="12" t="s">
        <v>7</v>
      </c>
      <c r="B86" s="24" t="s">
        <v>62</v>
      </c>
      <c r="C86" s="24" t="s">
        <v>227</v>
      </c>
      <c r="D86" s="24" t="s">
        <v>13</v>
      </c>
      <c r="E86" s="3">
        <v>255005</v>
      </c>
      <c r="F86" s="9" t="s">
        <v>13</v>
      </c>
      <c r="G86" s="10" t="s">
        <v>13</v>
      </c>
      <c r="H86" s="3">
        <v>4</v>
      </c>
      <c r="I86" s="3">
        <v>36</v>
      </c>
      <c r="J86" s="3">
        <v>1407</v>
      </c>
      <c r="K86" s="3" t="s">
        <v>186</v>
      </c>
      <c r="L86" s="3" t="s">
        <v>189</v>
      </c>
      <c r="M86" s="11" t="s">
        <v>187</v>
      </c>
      <c r="N86" s="11" t="s">
        <v>187</v>
      </c>
      <c r="O86" s="11" t="s">
        <v>193</v>
      </c>
      <c r="P86" s="3" t="s">
        <v>188</v>
      </c>
      <c r="Q86" s="12" t="s">
        <v>110</v>
      </c>
      <c r="R86" s="12" t="s">
        <v>222</v>
      </c>
      <c r="S86" s="12"/>
      <c r="T86" s="12" t="s">
        <v>36</v>
      </c>
      <c r="U86" s="12" t="s">
        <v>13</v>
      </c>
      <c r="V86" s="25" t="s">
        <v>69</v>
      </c>
      <c r="W86" s="111">
        <v>10</v>
      </c>
      <c r="X86" s="24" t="s">
        <v>170</v>
      </c>
      <c r="Y86" s="110" t="s">
        <v>37</v>
      </c>
      <c r="Z86" s="33">
        <v>5524440</v>
      </c>
      <c r="AA86" s="33"/>
      <c r="AB86" s="7">
        <f>Z86+AA86</f>
        <v>5524440</v>
      </c>
      <c r="AC86" s="33">
        <v>-1300000</v>
      </c>
      <c r="AD86" s="33">
        <f>AB86+AC86</f>
        <v>4224440</v>
      </c>
      <c r="AE86" s="33">
        <v>-2000000</v>
      </c>
      <c r="AF86" s="7">
        <f>+AD86+AE86</f>
        <v>2224440</v>
      </c>
      <c r="AG86" s="33"/>
      <c r="AH86" s="33">
        <v>7275000</v>
      </c>
      <c r="AI86" s="33">
        <f>29900000-250000</f>
        <v>29650000</v>
      </c>
      <c r="AJ86" s="33">
        <f>29900000-10000000</f>
        <v>19900000</v>
      </c>
      <c r="AK86" s="33"/>
      <c r="AL86" s="7">
        <f>AK86</f>
        <v>0</v>
      </c>
      <c r="AM86" s="33"/>
      <c r="AN86" s="7">
        <f>AM86</f>
        <v>0</v>
      </c>
      <c r="AO86" s="33"/>
      <c r="AP86" s="33">
        <v>0</v>
      </c>
      <c r="AQ86" s="7">
        <f>AO86+AP86</f>
        <v>0</v>
      </c>
      <c r="AR86" s="7">
        <f>AK86+AM86+AO86</f>
        <v>0</v>
      </c>
      <c r="AS86" s="7">
        <f>AL86+AN86+AQ86</f>
        <v>0</v>
      </c>
      <c r="AT86" s="33">
        <v>417514</v>
      </c>
      <c r="AU86" s="33">
        <v>58451.96</v>
      </c>
      <c r="AV86" s="7">
        <f>AT86+AU86</f>
        <v>475965.96</v>
      </c>
      <c r="AW86" s="33">
        <v>168266.6</v>
      </c>
      <c r="AX86" s="33">
        <v>23557.32</v>
      </c>
      <c r="AY86" s="7">
        <f>AW86+AX86</f>
        <v>191823.92</v>
      </c>
      <c r="AZ86" s="33">
        <v>13864.37</v>
      </c>
      <c r="BA86" s="33">
        <v>1941.01</v>
      </c>
      <c r="BB86" s="7">
        <f>AZ86+BA86</f>
        <v>15805.380000000001</v>
      </c>
      <c r="BC86" s="33"/>
      <c r="BD86" s="7">
        <f>BC86</f>
        <v>0</v>
      </c>
      <c r="BE86" s="33"/>
      <c r="BF86" s="7">
        <f>BE86</f>
        <v>0</v>
      </c>
      <c r="BG86" s="33"/>
      <c r="BH86" s="7">
        <f>BG86</f>
        <v>0</v>
      </c>
      <c r="BI86" s="33"/>
      <c r="BJ86" s="7">
        <f>BI86</f>
        <v>0</v>
      </c>
      <c r="BK86" s="33"/>
      <c r="BL86" s="7">
        <f>BK86</f>
        <v>0</v>
      </c>
      <c r="BM86" s="33"/>
      <c r="BN86" s="7">
        <f>BM86</f>
        <v>0</v>
      </c>
      <c r="BO86" s="33"/>
      <c r="BP86" s="14">
        <f>AK86+AM86+AO86+AT86+AW86+AZ86+BC86+BE86+BG86+BI86+BK86+BM86</f>
        <v>599644.97</v>
      </c>
      <c r="BQ86" s="14">
        <f>AL86+AN86+AQ86+AV86+AY86+BB86</f>
        <v>683595.26</v>
      </c>
      <c r="BR86" s="7"/>
      <c r="BS86" s="7">
        <f>AD86-BP86</f>
        <v>3624795.0300000003</v>
      </c>
      <c r="BT86" s="7">
        <f>AD86-BQ86</f>
        <v>3540844.74</v>
      </c>
      <c r="BU86" s="15">
        <f>BP86/AD86</f>
        <v>0.14194661777655737</v>
      </c>
      <c r="BV86" s="15">
        <f>BQ86/AD86</f>
        <v>0.16181914289231236</v>
      </c>
      <c r="BW86" s="33">
        <v>68000000</v>
      </c>
      <c r="BX86" s="33"/>
      <c r="BY86" s="33"/>
      <c r="BZ86" s="36"/>
    </row>
    <row r="87" spans="1:78" s="1" customFormat="1" ht="15" customHeight="1">
      <c r="A87" s="12" t="s">
        <v>7</v>
      </c>
      <c r="B87" s="24"/>
      <c r="C87" s="24" t="s">
        <v>227</v>
      </c>
      <c r="D87" s="24" t="s">
        <v>13</v>
      </c>
      <c r="E87" s="3">
        <v>255005</v>
      </c>
      <c r="F87" s="9" t="s">
        <v>13</v>
      </c>
      <c r="G87" s="10" t="s">
        <v>13</v>
      </c>
      <c r="H87" s="3">
        <v>6</v>
      </c>
      <c r="I87" s="3">
        <v>36</v>
      </c>
      <c r="J87" s="3">
        <v>1418</v>
      </c>
      <c r="K87" s="11" t="s">
        <v>186</v>
      </c>
      <c r="L87" s="11" t="s">
        <v>189</v>
      </c>
      <c r="M87" s="11" t="s">
        <v>187</v>
      </c>
      <c r="N87" s="11" t="s">
        <v>187</v>
      </c>
      <c r="O87" s="11" t="s">
        <v>193</v>
      </c>
      <c r="P87" s="11" t="s">
        <v>259</v>
      </c>
      <c r="Q87" s="12" t="s">
        <v>110</v>
      </c>
      <c r="R87" s="12" t="s">
        <v>222</v>
      </c>
      <c r="S87" s="12"/>
      <c r="T87" s="12"/>
      <c r="U87" s="12"/>
      <c r="V87" s="13"/>
      <c r="W87" s="34"/>
      <c r="X87" s="24" t="s">
        <v>170</v>
      </c>
      <c r="Y87" s="110" t="s">
        <v>285</v>
      </c>
      <c r="Z87" s="33"/>
      <c r="AA87" s="33"/>
      <c r="AB87" s="7">
        <v>0</v>
      </c>
      <c r="AC87" s="33">
        <v>1344861</v>
      </c>
      <c r="AD87" s="33">
        <f>AB87+AC87</f>
        <v>1344861</v>
      </c>
      <c r="AE87" s="33"/>
      <c r="AF87" s="7">
        <f>+AD87+AE87</f>
        <v>1344861</v>
      </c>
      <c r="AG87" s="33"/>
      <c r="AH87" s="33"/>
      <c r="AI87" s="33"/>
      <c r="AJ87" s="33"/>
      <c r="AK87" s="33"/>
      <c r="AL87" s="7"/>
      <c r="AM87" s="33"/>
      <c r="AN87" s="7"/>
      <c r="AO87" s="33"/>
      <c r="AP87" s="33"/>
      <c r="AQ87" s="7"/>
      <c r="AR87" s="7"/>
      <c r="AS87" s="7"/>
      <c r="AT87" s="33"/>
      <c r="AU87" s="33"/>
      <c r="AV87" s="7"/>
      <c r="AW87" s="33"/>
      <c r="AX87" s="33"/>
      <c r="AY87" s="7"/>
      <c r="AZ87" s="33"/>
      <c r="BA87" s="33"/>
      <c r="BB87" s="7">
        <f>AZ87+BA87</f>
        <v>0</v>
      </c>
      <c r="BC87" s="33"/>
      <c r="BD87" s="7"/>
      <c r="BE87" s="33"/>
      <c r="BF87" s="7"/>
      <c r="BG87" s="33"/>
      <c r="BH87" s="7"/>
      <c r="BI87" s="33"/>
      <c r="BJ87" s="7"/>
      <c r="BK87" s="33"/>
      <c r="BL87" s="7"/>
      <c r="BM87" s="33"/>
      <c r="BN87" s="7"/>
      <c r="BO87" s="33"/>
      <c r="BP87" s="14"/>
      <c r="BQ87" s="14">
        <f>AL87+AN87+AQ87+AV87+AY87+BB87</f>
        <v>0</v>
      </c>
      <c r="BR87" s="7"/>
      <c r="BS87" s="7">
        <f>AD87-BP87</f>
        <v>1344861</v>
      </c>
      <c r="BT87" s="7">
        <f>AD87-BQ87</f>
        <v>1344861</v>
      </c>
      <c r="BU87" s="15">
        <f>BP87/AD87</f>
        <v>0</v>
      </c>
      <c r="BV87" s="15">
        <f>BQ87/AD87</f>
        <v>0</v>
      </c>
      <c r="BW87" s="300"/>
      <c r="BX87" s="300"/>
      <c r="BY87" s="33"/>
      <c r="BZ87" s="36"/>
    </row>
    <row r="88" spans="1:78" s="1" customFormat="1" ht="15" customHeight="1">
      <c r="A88" s="12" t="s">
        <v>7</v>
      </c>
      <c r="B88" s="24" t="s">
        <v>62</v>
      </c>
      <c r="C88" s="24" t="s">
        <v>227</v>
      </c>
      <c r="D88" s="24" t="s">
        <v>13</v>
      </c>
      <c r="E88" s="3">
        <v>255005</v>
      </c>
      <c r="F88" s="9"/>
      <c r="G88" s="10"/>
      <c r="H88" s="3"/>
      <c r="I88" s="3"/>
      <c r="J88" s="3"/>
      <c r="K88" s="11"/>
      <c r="L88" s="11"/>
      <c r="M88" s="11"/>
      <c r="N88" s="11"/>
      <c r="O88" s="11"/>
      <c r="P88" s="11"/>
      <c r="Q88" s="12"/>
      <c r="R88" s="12"/>
      <c r="S88" s="12"/>
      <c r="T88" s="12"/>
      <c r="U88" s="12"/>
      <c r="V88" s="13"/>
      <c r="W88" s="34"/>
      <c r="X88" s="24" t="s">
        <v>466</v>
      </c>
      <c r="Y88" s="110" t="s">
        <v>460</v>
      </c>
      <c r="Z88" s="33"/>
      <c r="AA88" s="33"/>
      <c r="AB88" s="7"/>
      <c r="AC88" s="33"/>
      <c r="AD88" s="33"/>
      <c r="AE88" s="33"/>
      <c r="AF88" s="7"/>
      <c r="AG88" s="33"/>
      <c r="AH88" s="33">
        <v>300000</v>
      </c>
      <c r="AI88" s="33">
        <v>100861424</v>
      </c>
      <c r="AJ88" s="33">
        <v>26000000</v>
      </c>
      <c r="AK88" s="33"/>
      <c r="AL88" s="7"/>
      <c r="AM88" s="33"/>
      <c r="AN88" s="7"/>
      <c r="AO88" s="33"/>
      <c r="AP88" s="33"/>
      <c r="AQ88" s="7"/>
      <c r="AR88" s="7"/>
      <c r="AS88" s="7"/>
      <c r="AT88" s="33"/>
      <c r="AU88" s="33"/>
      <c r="AV88" s="7"/>
      <c r="AW88" s="33"/>
      <c r="AX88" s="33"/>
      <c r="AY88" s="7"/>
      <c r="AZ88" s="33"/>
      <c r="BA88" s="33"/>
      <c r="BB88" s="7"/>
      <c r="BC88" s="33"/>
      <c r="BD88" s="7"/>
      <c r="BE88" s="33"/>
      <c r="BF88" s="7"/>
      <c r="BG88" s="33"/>
      <c r="BH88" s="7"/>
      <c r="BI88" s="33"/>
      <c r="BJ88" s="7"/>
      <c r="BK88" s="33"/>
      <c r="BL88" s="7"/>
      <c r="BM88" s="33"/>
      <c r="BN88" s="7"/>
      <c r="BO88" s="33"/>
      <c r="BP88" s="14"/>
      <c r="BQ88" s="14"/>
      <c r="BR88" s="7"/>
      <c r="BS88" s="7"/>
      <c r="BT88" s="7"/>
      <c r="BU88" s="15"/>
      <c r="BV88" s="15"/>
      <c r="BW88" s="300"/>
      <c r="BX88" s="300"/>
      <c r="BY88" s="33"/>
      <c r="BZ88" s="36"/>
    </row>
    <row r="89" spans="1:78" s="1" customFormat="1" ht="17.100000000000001" customHeight="1" thickBot="1">
      <c r="A89" s="12"/>
      <c r="B89" s="24"/>
      <c r="C89" s="24"/>
      <c r="D89" s="24"/>
      <c r="E89" s="3"/>
      <c r="F89" s="9"/>
      <c r="G89" s="10"/>
      <c r="H89" s="3"/>
      <c r="I89" s="3"/>
      <c r="J89" s="3"/>
      <c r="K89" s="11"/>
      <c r="L89" s="11"/>
      <c r="M89" s="11"/>
      <c r="N89" s="11"/>
      <c r="O89" s="11"/>
      <c r="P89" s="11"/>
      <c r="Q89" s="12"/>
      <c r="R89" s="12"/>
      <c r="S89" s="12"/>
      <c r="T89" s="12"/>
      <c r="U89" s="12"/>
      <c r="V89" s="13"/>
      <c r="W89" s="34"/>
      <c r="X89" s="24"/>
      <c r="Y89" s="110"/>
      <c r="Z89" s="33"/>
      <c r="AA89" s="33"/>
      <c r="AB89" s="7"/>
      <c r="AC89" s="33"/>
      <c r="AD89" s="33"/>
      <c r="AE89" s="33"/>
      <c r="AF89" s="7"/>
      <c r="AG89" s="33"/>
      <c r="AH89" s="325">
        <f>SUM(AH86:AH88)</f>
        <v>7575000</v>
      </c>
      <c r="AI89" s="325">
        <f>SUM(AI86:AI88)</f>
        <v>130511424</v>
      </c>
      <c r="AJ89" s="325">
        <f>SUM(AJ86:AJ88)</f>
        <v>45900000</v>
      </c>
      <c r="AK89" s="33"/>
      <c r="AL89" s="7"/>
      <c r="AM89" s="33"/>
      <c r="AN89" s="7"/>
      <c r="AO89" s="33"/>
      <c r="AP89" s="33"/>
      <c r="AQ89" s="7"/>
      <c r="AR89" s="7"/>
      <c r="AS89" s="7"/>
      <c r="AT89" s="33"/>
      <c r="AU89" s="33"/>
      <c r="AV89" s="7"/>
      <c r="AW89" s="33"/>
      <c r="AX89" s="33"/>
      <c r="AY89" s="7"/>
      <c r="AZ89" s="33"/>
      <c r="BA89" s="33"/>
      <c r="BB89" s="7"/>
      <c r="BC89" s="33"/>
      <c r="BD89" s="7"/>
      <c r="BE89" s="33"/>
      <c r="BF89" s="7"/>
      <c r="BG89" s="33"/>
      <c r="BH89" s="7"/>
      <c r="BI89" s="33"/>
      <c r="BJ89" s="7"/>
      <c r="BK89" s="33"/>
      <c r="BL89" s="7"/>
      <c r="BM89" s="33"/>
      <c r="BN89" s="7"/>
      <c r="BO89" s="33"/>
      <c r="BP89" s="14"/>
      <c r="BQ89" s="14"/>
      <c r="BR89" s="7"/>
      <c r="BS89" s="7"/>
      <c r="BT89" s="7"/>
      <c r="BU89" s="15"/>
      <c r="BV89" s="15"/>
      <c r="BW89" s="300"/>
      <c r="BX89" s="300"/>
      <c r="BY89" s="33"/>
      <c r="BZ89" s="36"/>
    </row>
    <row r="90" spans="1:78" s="1" customFormat="1" ht="15" customHeight="1">
      <c r="A90" s="12"/>
      <c r="B90" s="24"/>
      <c r="C90" s="24"/>
      <c r="D90" s="24"/>
      <c r="E90" s="3"/>
      <c r="F90" s="9"/>
      <c r="G90" s="10"/>
      <c r="H90" s="3"/>
      <c r="I90" s="3"/>
      <c r="J90" s="3"/>
      <c r="K90" s="11"/>
      <c r="L90" s="11"/>
      <c r="M90" s="11"/>
      <c r="N90" s="11"/>
      <c r="O90" s="11"/>
      <c r="P90" s="11"/>
      <c r="Q90" s="12"/>
      <c r="R90" s="12"/>
      <c r="S90" s="12"/>
      <c r="T90" s="12"/>
      <c r="U90" s="12"/>
      <c r="V90" s="13"/>
      <c r="W90" s="34"/>
      <c r="X90" s="24"/>
      <c r="Y90" s="110"/>
      <c r="Z90" s="33"/>
      <c r="AA90" s="33"/>
      <c r="AB90" s="7"/>
      <c r="AC90" s="33"/>
      <c r="AD90" s="33"/>
      <c r="AE90" s="33"/>
      <c r="AF90" s="7"/>
      <c r="AG90" s="33"/>
      <c r="AH90" s="33"/>
      <c r="AI90" s="33"/>
      <c r="AJ90" s="33"/>
      <c r="AK90" s="33"/>
      <c r="AL90" s="7"/>
      <c r="AM90" s="33"/>
      <c r="AN90" s="7"/>
      <c r="AO90" s="33"/>
      <c r="AP90" s="33"/>
      <c r="AQ90" s="7"/>
      <c r="AR90" s="7"/>
      <c r="AS90" s="7"/>
      <c r="AT90" s="33"/>
      <c r="AU90" s="33"/>
      <c r="AV90" s="7"/>
      <c r="AW90" s="33"/>
      <c r="AX90" s="33"/>
      <c r="AY90" s="7"/>
      <c r="AZ90" s="33"/>
      <c r="BA90" s="33"/>
      <c r="BB90" s="7"/>
      <c r="BC90" s="33"/>
      <c r="BD90" s="7"/>
      <c r="BE90" s="33"/>
      <c r="BF90" s="7"/>
      <c r="BG90" s="33"/>
      <c r="BH90" s="7"/>
      <c r="BI90" s="33"/>
      <c r="BJ90" s="7"/>
      <c r="BK90" s="33"/>
      <c r="BL90" s="7"/>
      <c r="BM90" s="33"/>
      <c r="BN90" s="7"/>
      <c r="BO90" s="33"/>
      <c r="BP90" s="14"/>
      <c r="BQ90" s="14"/>
      <c r="BR90" s="7"/>
      <c r="BS90" s="7"/>
      <c r="BT90" s="7"/>
      <c r="BU90" s="15"/>
      <c r="BV90" s="15"/>
      <c r="BW90" s="300"/>
      <c r="BX90" s="300"/>
      <c r="BY90" s="33"/>
      <c r="BZ90" s="36"/>
    </row>
    <row r="91" spans="1:78" s="1" customFormat="1" ht="17.100000000000001" customHeight="1">
      <c r="A91" s="12" t="s">
        <v>7</v>
      </c>
      <c r="B91" s="24" t="s">
        <v>62</v>
      </c>
      <c r="C91" s="24" t="s">
        <v>227</v>
      </c>
      <c r="D91" s="24" t="s">
        <v>13</v>
      </c>
      <c r="E91" s="3">
        <v>255005</v>
      </c>
      <c r="F91" s="9" t="s">
        <v>13</v>
      </c>
      <c r="G91" s="10" t="s">
        <v>13</v>
      </c>
      <c r="H91" s="3">
        <v>4</v>
      </c>
      <c r="I91" s="3">
        <v>36</v>
      </c>
      <c r="J91" s="3">
        <v>1408</v>
      </c>
      <c r="K91" s="3" t="s">
        <v>186</v>
      </c>
      <c r="L91" s="3" t="s">
        <v>189</v>
      </c>
      <c r="M91" s="11" t="s">
        <v>187</v>
      </c>
      <c r="N91" s="11" t="s">
        <v>187</v>
      </c>
      <c r="O91" s="11" t="s">
        <v>193</v>
      </c>
      <c r="P91" s="3" t="s">
        <v>188</v>
      </c>
      <c r="Q91" s="12" t="s">
        <v>110</v>
      </c>
      <c r="R91" s="12" t="s">
        <v>222</v>
      </c>
      <c r="S91" s="12"/>
      <c r="T91" s="12" t="s">
        <v>36</v>
      </c>
      <c r="U91" s="12" t="s">
        <v>13</v>
      </c>
      <c r="V91" s="25" t="s">
        <v>69</v>
      </c>
      <c r="W91" s="111">
        <v>31</v>
      </c>
      <c r="X91" s="24" t="s">
        <v>154</v>
      </c>
      <c r="Y91" s="110" t="s">
        <v>37</v>
      </c>
      <c r="Z91" s="33">
        <v>10000000</v>
      </c>
      <c r="AA91" s="33"/>
      <c r="AB91" s="7">
        <f>Z91+AA91</f>
        <v>10000000</v>
      </c>
      <c r="AC91" s="33">
        <v>4000000</v>
      </c>
      <c r="AD91" s="33">
        <f>AB91+AC91</f>
        <v>14000000</v>
      </c>
      <c r="AE91" s="33"/>
      <c r="AF91" s="7">
        <f>+AD91+AE91</f>
        <v>14000000</v>
      </c>
      <c r="AG91" s="33"/>
      <c r="AH91" s="33">
        <v>8000000</v>
      </c>
      <c r="AI91" s="323">
        <v>0</v>
      </c>
      <c r="AJ91" s="323">
        <v>0</v>
      </c>
      <c r="AK91" s="33"/>
      <c r="AL91" s="7">
        <f>AK91</f>
        <v>0</v>
      </c>
      <c r="AM91" s="33"/>
      <c r="AN91" s="7">
        <f>AM91</f>
        <v>0</v>
      </c>
      <c r="AO91" s="33">
        <v>312750</v>
      </c>
      <c r="AP91" s="33"/>
      <c r="AQ91" s="7">
        <f>AO91+AP91</f>
        <v>312750</v>
      </c>
      <c r="AR91" s="7">
        <f>AK91+AM91+AO91</f>
        <v>312750</v>
      </c>
      <c r="AS91" s="7">
        <f>AL91+AN91+AQ91</f>
        <v>312750</v>
      </c>
      <c r="AT91" s="33">
        <v>34750</v>
      </c>
      <c r="AU91" s="33">
        <v>43785</v>
      </c>
      <c r="AV91" s="7">
        <f>AT91+AU91</f>
        <v>78535</v>
      </c>
      <c r="AW91" s="33">
        <v>793348.34</v>
      </c>
      <c r="AX91" s="33">
        <v>107369.96</v>
      </c>
      <c r="AY91" s="7">
        <f>AW91+AX91</f>
        <v>900718.29999999993</v>
      </c>
      <c r="AZ91" s="33">
        <v>439562.11</v>
      </c>
      <c r="BA91" s="33">
        <v>61538.7</v>
      </c>
      <c r="BB91" s="7">
        <f>AZ91+BA91</f>
        <v>501100.81</v>
      </c>
      <c r="BC91" s="33"/>
      <c r="BD91" s="7">
        <f>BC91</f>
        <v>0</v>
      </c>
      <c r="BE91" s="33"/>
      <c r="BF91" s="7">
        <f>BE91</f>
        <v>0</v>
      </c>
      <c r="BG91" s="33"/>
      <c r="BH91" s="7">
        <f>BG91</f>
        <v>0</v>
      </c>
      <c r="BI91" s="33"/>
      <c r="BJ91" s="7">
        <f>BI91</f>
        <v>0</v>
      </c>
      <c r="BK91" s="33"/>
      <c r="BL91" s="7">
        <f>BK91</f>
        <v>0</v>
      </c>
      <c r="BM91" s="33"/>
      <c r="BN91" s="7">
        <f>BM91</f>
        <v>0</v>
      </c>
      <c r="BO91" s="33"/>
      <c r="BP91" s="14">
        <f>AK91+AM91+AO91+AT91+AW91+AZ91+BC91+BE91+BG91+BI91+BK91+BM91</f>
        <v>1580410.4499999997</v>
      </c>
      <c r="BQ91" s="14">
        <f>AL91+AN91+AQ91+AV91+AY91+BB91</f>
        <v>1793104.1099999999</v>
      </c>
      <c r="BR91" s="7"/>
      <c r="BS91" s="7">
        <f>AD91-BP91</f>
        <v>12419589.550000001</v>
      </c>
      <c r="BT91" s="7">
        <f>AD91-BQ91</f>
        <v>12206895.890000001</v>
      </c>
      <c r="BU91" s="15">
        <f>BP91/AD91</f>
        <v>0.11288646071428569</v>
      </c>
      <c r="BV91" s="15">
        <f>BQ91/AD91</f>
        <v>0.12807886499999999</v>
      </c>
      <c r="BW91" s="33"/>
      <c r="BX91" s="33"/>
      <c r="BY91" s="33"/>
      <c r="BZ91" s="36"/>
    </row>
    <row r="92" spans="1:78" s="1" customFormat="1" ht="15" customHeight="1">
      <c r="A92" s="12" t="s">
        <v>7</v>
      </c>
      <c r="B92" s="24" t="s">
        <v>62</v>
      </c>
      <c r="C92" s="24" t="s">
        <v>227</v>
      </c>
      <c r="D92" s="24" t="s">
        <v>13</v>
      </c>
      <c r="E92" s="3">
        <v>255005</v>
      </c>
      <c r="F92" s="9" t="s">
        <v>13</v>
      </c>
      <c r="G92" s="10" t="s">
        <v>13</v>
      </c>
      <c r="H92" s="3">
        <v>4</v>
      </c>
      <c r="I92" s="3">
        <v>36</v>
      </c>
      <c r="J92" s="3">
        <v>1408</v>
      </c>
      <c r="K92" s="3" t="s">
        <v>186</v>
      </c>
      <c r="L92" s="3" t="s">
        <v>189</v>
      </c>
      <c r="M92" s="11" t="s">
        <v>187</v>
      </c>
      <c r="N92" s="11" t="s">
        <v>187</v>
      </c>
      <c r="O92" s="11" t="s">
        <v>193</v>
      </c>
      <c r="P92" s="3" t="s">
        <v>188</v>
      </c>
      <c r="Q92" s="12" t="s">
        <v>110</v>
      </c>
      <c r="R92" s="12" t="s">
        <v>222</v>
      </c>
      <c r="S92" s="12"/>
      <c r="T92" s="12"/>
      <c r="U92" s="12"/>
      <c r="V92" s="25"/>
      <c r="W92" s="111"/>
      <c r="X92" s="24" t="s">
        <v>462</v>
      </c>
      <c r="Y92" s="110" t="s">
        <v>460</v>
      </c>
      <c r="Z92" s="33"/>
      <c r="AA92" s="33"/>
      <c r="AB92" s="7"/>
      <c r="AC92" s="33"/>
      <c r="AD92" s="33"/>
      <c r="AE92" s="33"/>
      <c r="AF92" s="7"/>
      <c r="AG92" s="33"/>
      <c r="AH92" s="33">
        <v>11000000</v>
      </c>
      <c r="AI92" s="33">
        <v>10500000</v>
      </c>
      <c r="AJ92" s="33">
        <v>0</v>
      </c>
      <c r="AK92" s="33"/>
      <c r="AL92" s="7"/>
      <c r="AM92" s="33"/>
      <c r="AN92" s="7"/>
      <c r="AO92" s="33"/>
      <c r="AP92" s="33"/>
      <c r="AQ92" s="7"/>
      <c r="AR92" s="7"/>
      <c r="AS92" s="7"/>
      <c r="AT92" s="33"/>
      <c r="AU92" s="33"/>
      <c r="AV92" s="7"/>
      <c r="AW92" s="33"/>
      <c r="AX92" s="33"/>
      <c r="AY92" s="7"/>
      <c r="AZ92" s="33"/>
      <c r="BA92" s="33"/>
      <c r="BB92" s="7"/>
      <c r="BC92" s="33"/>
      <c r="BD92" s="7"/>
      <c r="BE92" s="33"/>
      <c r="BF92" s="7"/>
      <c r="BG92" s="33"/>
      <c r="BH92" s="7"/>
      <c r="BI92" s="33"/>
      <c r="BJ92" s="7"/>
      <c r="BK92" s="33"/>
      <c r="BL92" s="7"/>
      <c r="BM92" s="33"/>
      <c r="BN92" s="7"/>
      <c r="BO92" s="33"/>
      <c r="BP92" s="14"/>
      <c r="BQ92" s="14"/>
      <c r="BR92" s="7"/>
      <c r="BS92" s="7"/>
      <c r="BT92" s="7"/>
      <c r="BU92" s="15"/>
      <c r="BV92" s="15"/>
      <c r="BW92" s="33"/>
      <c r="BX92" s="33"/>
      <c r="BY92" s="33"/>
      <c r="BZ92" s="36"/>
    </row>
    <row r="93" spans="1:78" s="1" customFormat="1" ht="17.100000000000001" customHeight="1" thickBot="1">
      <c r="A93" s="12"/>
      <c r="B93" s="24"/>
      <c r="C93" s="24"/>
      <c r="D93" s="24"/>
      <c r="E93" s="3"/>
      <c r="F93" s="9"/>
      <c r="G93" s="10"/>
      <c r="H93" s="3"/>
      <c r="I93" s="3"/>
      <c r="J93" s="3"/>
      <c r="K93" s="3"/>
      <c r="L93" s="3"/>
      <c r="M93" s="11"/>
      <c r="N93" s="11"/>
      <c r="O93" s="11"/>
      <c r="P93" s="3"/>
      <c r="Q93" s="12"/>
      <c r="R93" s="12"/>
      <c r="S93" s="12"/>
      <c r="T93" s="12"/>
      <c r="U93" s="12"/>
      <c r="V93" s="25"/>
      <c r="W93" s="111"/>
      <c r="X93" s="24"/>
      <c r="Y93" s="110"/>
      <c r="Z93" s="33"/>
      <c r="AA93" s="33"/>
      <c r="AB93" s="7"/>
      <c r="AC93" s="33"/>
      <c r="AD93" s="33"/>
      <c r="AE93" s="33"/>
      <c r="AF93" s="7"/>
      <c r="AG93" s="33"/>
      <c r="AH93" s="325">
        <f>SUM(AH91:AH92)</f>
        <v>19000000</v>
      </c>
      <c r="AI93" s="325">
        <f>SUM(AI91:AI92)</f>
        <v>10500000</v>
      </c>
      <c r="AJ93" s="325">
        <f>SUM(AJ91:AJ92)</f>
        <v>0</v>
      </c>
      <c r="AK93" s="33"/>
      <c r="AL93" s="7"/>
      <c r="AM93" s="33"/>
      <c r="AN93" s="7"/>
      <c r="AO93" s="33"/>
      <c r="AP93" s="33"/>
      <c r="AQ93" s="7"/>
      <c r="AR93" s="7"/>
      <c r="AS93" s="7"/>
      <c r="AT93" s="33"/>
      <c r="AU93" s="33"/>
      <c r="AV93" s="7"/>
      <c r="AW93" s="33"/>
      <c r="AX93" s="33"/>
      <c r="AY93" s="7"/>
      <c r="AZ93" s="33"/>
      <c r="BA93" s="33"/>
      <c r="BB93" s="7"/>
      <c r="BC93" s="33"/>
      <c r="BD93" s="7"/>
      <c r="BE93" s="33"/>
      <c r="BF93" s="7"/>
      <c r="BG93" s="33"/>
      <c r="BH93" s="7"/>
      <c r="BI93" s="33"/>
      <c r="BJ93" s="7"/>
      <c r="BK93" s="33"/>
      <c r="BL93" s="7"/>
      <c r="BM93" s="33"/>
      <c r="BN93" s="7"/>
      <c r="BO93" s="33"/>
      <c r="BP93" s="14"/>
      <c r="BQ93" s="14"/>
      <c r="BR93" s="7"/>
      <c r="BS93" s="7"/>
      <c r="BT93" s="7"/>
      <c r="BU93" s="15"/>
      <c r="BV93" s="15"/>
      <c r="BW93" s="33"/>
      <c r="BX93" s="33"/>
      <c r="BY93" s="33"/>
      <c r="BZ93" s="36"/>
    </row>
    <row r="94" spans="1:78" s="1" customFormat="1" ht="30">
      <c r="A94" s="12" t="s">
        <v>7</v>
      </c>
      <c r="B94" s="24" t="s">
        <v>62</v>
      </c>
      <c r="C94" s="24" t="s">
        <v>227</v>
      </c>
      <c r="D94" s="24"/>
      <c r="E94" s="3">
        <v>255005</v>
      </c>
      <c r="F94" s="9" t="s">
        <v>13</v>
      </c>
      <c r="G94" s="10" t="s">
        <v>13</v>
      </c>
      <c r="H94" s="3">
        <v>4</v>
      </c>
      <c r="I94" s="3">
        <v>35</v>
      </c>
      <c r="J94" s="3">
        <v>1405</v>
      </c>
      <c r="K94" s="3" t="s">
        <v>186</v>
      </c>
      <c r="L94" s="3" t="s">
        <v>189</v>
      </c>
      <c r="M94" s="11" t="s">
        <v>187</v>
      </c>
      <c r="N94" s="11" t="s">
        <v>187</v>
      </c>
      <c r="O94" s="11" t="s">
        <v>193</v>
      </c>
      <c r="P94" s="3" t="s">
        <v>188</v>
      </c>
      <c r="Q94" s="12" t="s">
        <v>110</v>
      </c>
      <c r="R94" s="12" t="s">
        <v>222</v>
      </c>
      <c r="S94" s="12"/>
      <c r="T94" s="12" t="s">
        <v>36</v>
      </c>
      <c r="U94" s="12" t="s">
        <v>13</v>
      </c>
      <c r="V94" s="25" t="s">
        <v>69</v>
      </c>
      <c r="W94" s="34">
        <v>9</v>
      </c>
      <c r="X94" s="24" t="s">
        <v>160</v>
      </c>
      <c r="Y94" s="110" t="s">
        <v>38</v>
      </c>
      <c r="Z94" s="36">
        <v>500000</v>
      </c>
      <c r="AA94" s="36"/>
      <c r="AB94" s="7">
        <f>Z94+AA94</f>
        <v>500000</v>
      </c>
      <c r="AC94" s="33"/>
      <c r="AD94" s="33">
        <f>AB94+AC94</f>
        <v>500000</v>
      </c>
      <c r="AE94" s="33">
        <v>-500000</v>
      </c>
      <c r="AF94" s="7">
        <f>+AD94+AE94</f>
        <v>0</v>
      </c>
      <c r="AG94" s="33"/>
      <c r="AH94" s="36">
        <v>2000000</v>
      </c>
      <c r="AI94" s="36">
        <v>2000000</v>
      </c>
      <c r="AJ94" s="33">
        <v>69000000</v>
      </c>
      <c r="AK94" s="36"/>
      <c r="AL94" s="7">
        <f>AK94</f>
        <v>0</v>
      </c>
      <c r="AM94" s="36"/>
      <c r="AN94" s="7">
        <f>AM94</f>
        <v>0</v>
      </c>
      <c r="AO94" s="36"/>
      <c r="AP94" s="36"/>
      <c r="AQ94" s="7">
        <f>AO94+AP94</f>
        <v>0</v>
      </c>
      <c r="AR94" s="7">
        <f>AK94+AM94+AO94</f>
        <v>0</v>
      </c>
      <c r="AS94" s="7">
        <f>AL94+AN94+AQ94</f>
        <v>0</v>
      </c>
      <c r="AT94" s="36"/>
      <c r="AU94" s="36"/>
      <c r="AV94" s="7">
        <f>AT94+AU94</f>
        <v>0</v>
      </c>
      <c r="AW94" s="36"/>
      <c r="AX94" s="36"/>
      <c r="AY94" s="7">
        <f>AW94+AX94</f>
        <v>0</v>
      </c>
      <c r="AZ94" s="36"/>
      <c r="BA94" s="36"/>
      <c r="BB94" s="7">
        <f>AZ94+BA94</f>
        <v>0</v>
      </c>
      <c r="BC94" s="36"/>
      <c r="BD94" s="7">
        <f>BC94</f>
        <v>0</v>
      </c>
      <c r="BE94" s="36"/>
      <c r="BF94" s="7">
        <f>BE94</f>
        <v>0</v>
      </c>
      <c r="BG94" s="36"/>
      <c r="BH94" s="7">
        <f>BG94</f>
        <v>0</v>
      </c>
      <c r="BI94" s="36"/>
      <c r="BJ94" s="7">
        <f>BI94</f>
        <v>0</v>
      </c>
      <c r="BK94" s="36"/>
      <c r="BL94" s="7">
        <f>BK94</f>
        <v>0</v>
      </c>
      <c r="BM94" s="36"/>
      <c r="BN94" s="7">
        <f>BM94</f>
        <v>0</v>
      </c>
      <c r="BO94" s="36"/>
      <c r="BP94" s="14">
        <f>AK94+AM94+AO94+AT94+AW94+AZ94+BC94+BE94+BG94+BI94+BK94+BM94</f>
        <v>0</v>
      </c>
      <c r="BQ94" s="14">
        <f>AL94+AN94+AQ94+AV94+AY94+BB94</f>
        <v>0</v>
      </c>
      <c r="BR94" s="7"/>
      <c r="BS94" s="7">
        <f>AD94-BP94</f>
        <v>500000</v>
      </c>
      <c r="BT94" s="7">
        <f>AD94-BQ94</f>
        <v>500000</v>
      </c>
      <c r="BU94" s="15">
        <f>BP94/AD94</f>
        <v>0</v>
      </c>
      <c r="BV94" s="15">
        <f>BQ94/AD94</f>
        <v>0</v>
      </c>
      <c r="BW94" s="300"/>
      <c r="BX94" s="300"/>
      <c r="BY94" s="33"/>
      <c r="BZ94" s="36"/>
    </row>
    <row r="95" spans="1:78" s="1" customFormat="1" ht="15" customHeight="1">
      <c r="A95" s="12" t="s">
        <v>7</v>
      </c>
      <c r="B95" s="24" t="s">
        <v>62</v>
      </c>
      <c r="C95" s="24" t="s">
        <v>227</v>
      </c>
      <c r="D95" s="24"/>
      <c r="E95" s="3">
        <v>255005</v>
      </c>
      <c r="F95" s="9"/>
      <c r="G95" s="10"/>
      <c r="H95" s="3"/>
      <c r="I95" s="3"/>
      <c r="J95" s="3"/>
      <c r="K95" s="3"/>
      <c r="L95" s="3"/>
      <c r="M95" s="11"/>
      <c r="N95" s="11"/>
      <c r="O95" s="11"/>
      <c r="P95" s="3"/>
      <c r="Q95" s="12"/>
      <c r="R95" s="12"/>
      <c r="S95" s="12"/>
      <c r="T95" s="12"/>
      <c r="U95" s="12"/>
      <c r="V95" s="25"/>
      <c r="W95" s="111"/>
      <c r="X95" s="24" t="s">
        <v>471</v>
      </c>
      <c r="Y95" s="110" t="s">
        <v>460</v>
      </c>
      <c r="Z95" s="33"/>
      <c r="AA95" s="33"/>
      <c r="AB95" s="7"/>
      <c r="AC95" s="33"/>
      <c r="AD95" s="33"/>
      <c r="AE95" s="33"/>
      <c r="AF95" s="7"/>
      <c r="AG95" s="33"/>
      <c r="AH95" s="33">
        <v>5000000</v>
      </c>
      <c r="AI95" s="33">
        <v>30000000</v>
      </c>
      <c r="AJ95" s="33">
        <v>57000000</v>
      </c>
      <c r="AK95" s="33"/>
      <c r="AL95" s="7"/>
      <c r="AM95" s="33"/>
      <c r="AN95" s="7"/>
      <c r="AO95" s="33"/>
      <c r="AP95" s="33"/>
      <c r="AQ95" s="7"/>
      <c r="AR95" s="7"/>
      <c r="AS95" s="7"/>
      <c r="AT95" s="33"/>
      <c r="AU95" s="33"/>
      <c r="AV95" s="7"/>
      <c r="AW95" s="33"/>
      <c r="AX95" s="33"/>
      <c r="AY95" s="7"/>
      <c r="AZ95" s="33"/>
      <c r="BA95" s="33"/>
      <c r="BB95" s="7"/>
      <c r="BC95" s="33"/>
      <c r="BD95" s="7"/>
      <c r="BE95" s="33"/>
      <c r="BF95" s="7"/>
      <c r="BG95" s="33"/>
      <c r="BH95" s="7"/>
      <c r="BI95" s="33"/>
      <c r="BJ95" s="7"/>
      <c r="BK95" s="33"/>
      <c r="BL95" s="7"/>
      <c r="BM95" s="33"/>
      <c r="BN95" s="7"/>
      <c r="BO95" s="33"/>
      <c r="BP95" s="14"/>
      <c r="BQ95" s="14"/>
      <c r="BR95" s="7"/>
      <c r="BS95" s="7"/>
      <c r="BT95" s="7"/>
      <c r="BU95" s="15"/>
      <c r="BV95" s="15"/>
      <c r="BW95" s="33"/>
      <c r="BX95" s="33"/>
      <c r="BY95" s="33"/>
      <c r="BZ95" s="36"/>
    </row>
    <row r="96" spans="1:78" s="1" customFormat="1" ht="17.100000000000001" customHeight="1" thickBot="1">
      <c r="A96" s="12"/>
      <c r="B96" s="24"/>
      <c r="C96" s="24"/>
      <c r="D96" s="24"/>
      <c r="E96" s="3"/>
      <c r="F96" s="9"/>
      <c r="G96" s="10"/>
      <c r="H96" s="3"/>
      <c r="I96" s="3"/>
      <c r="J96" s="3"/>
      <c r="K96" s="3"/>
      <c r="L96" s="3"/>
      <c r="M96" s="11"/>
      <c r="N96" s="11"/>
      <c r="O96" s="11"/>
      <c r="P96" s="3"/>
      <c r="Q96" s="12"/>
      <c r="R96" s="12"/>
      <c r="S96" s="12"/>
      <c r="T96" s="12"/>
      <c r="U96" s="12"/>
      <c r="V96" s="25"/>
      <c r="W96" s="111"/>
      <c r="X96" s="24"/>
      <c r="Y96" s="110"/>
      <c r="Z96" s="33"/>
      <c r="AA96" s="33"/>
      <c r="AB96" s="7"/>
      <c r="AC96" s="33"/>
      <c r="AD96" s="33"/>
      <c r="AE96" s="33"/>
      <c r="AF96" s="7"/>
      <c r="AG96" s="33"/>
      <c r="AH96" s="325">
        <f>SUM(AH94:AH95)</f>
        <v>7000000</v>
      </c>
      <c r="AI96" s="325">
        <f>SUM(AI94:AI95)</f>
        <v>32000000</v>
      </c>
      <c r="AJ96" s="325">
        <f>SUM(AJ94:AJ95)</f>
        <v>126000000</v>
      </c>
      <c r="AK96" s="33"/>
      <c r="AL96" s="7"/>
      <c r="AM96" s="33"/>
      <c r="AN96" s="7"/>
      <c r="AO96" s="33"/>
      <c r="AP96" s="33"/>
      <c r="AQ96" s="7"/>
      <c r="AR96" s="7"/>
      <c r="AS96" s="7"/>
      <c r="AT96" s="33"/>
      <c r="AU96" s="33"/>
      <c r="AV96" s="7"/>
      <c r="AW96" s="33"/>
      <c r="AX96" s="33"/>
      <c r="AY96" s="7"/>
      <c r="AZ96" s="33"/>
      <c r="BA96" s="33"/>
      <c r="BB96" s="7"/>
      <c r="BC96" s="33"/>
      <c r="BD96" s="7"/>
      <c r="BE96" s="33"/>
      <c r="BF96" s="7"/>
      <c r="BG96" s="33"/>
      <c r="BH96" s="7"/>
      <c r="BI96" s="33"/>
      <c r="BJ96" s="7"/>
      <c r="BK96" s="33"/>
      <c r="BL96" s="7"/>
      <c r="BM96" s="33"/>
      <c r="BN96" s="7"/>
      <c r="BO96" s="33"/>
      <c r="BP96" s="14"/>
      <c r="BQ96" s="14"/>
      <c r="BR96" s="7"/>
      <c r="BS96" s="7"/>
      <c r="BT96" s="7"/>
      <c r="BU96" s="15"/>
      <c r="BV96" s="15"/>
      <c r="BW96" s="33"/>
      <c r="BX96" s="33"/>
      <c r="BY96" s="33"/>
      <c r="BZ96" s="36"/>
    </row>
    <row r="97" spans="1:78" s="1" customFormat="1" ht="15" customHeight="1">
      <c r="A97" s="12"/>
      <c r="B97" s="24"/>
      <c r="C97" s="24"/>
      <c r="D97" s="24"/>
      <c r="E97" s="3"/>
      <c r="F97" s="9"/>
      <c r="G97" s="10"/>
      <c r="H97" s="3"/>
      <c r="I97" s="3"/>
      <c r="J97" s="3"/>
      <c r="K97" s="3"/>
      <c r="L97" s="3"/>
      <c r="M97" s="11"/>
      <c r="N97" s="11"/>
      <c r="O97" s="11"/>
      <c r="P97" s="3"/>
      <c r="Q97" s="12"/>
      <c r="R97" s="12"/>
      <c r="S97" s="12"/>
      <c r="T97" s="12"/>
      <c r="U97" s="12"/>
      <c r="V97" s="25"/>
      <c r="W97" s="111"/>
      <c r="X97" s="24"/>
      <c r="Y97" s="110"/>
      <c r="Z97" s="33"/>
      <c r="AA97" s="33"/>
      <c r="AB97" s="7"/>
      <c r="AC97" s="33"/>
      <c r="AD97" s="33"/>
      <c r="AE97" s="33"/>
      <c r="AF97" s="7"/>
      <c r="AG97" s="33"/>
      <c r="AH97" s="33"/>
      <c r="AI97" s="33"/>
      <c r="AJ97" s="33"/>
      <c r="AK97" s="33"/>
      <c r="AL97" s="7"/>
      <c r="AM97" s="33"/>
      <c r="AN97" s="7"/>
      <c r="AO97" s="33"/>
      <c r="AP97" s="33"/>
      <c r="AQ97" s="7"/>
      <c r="AR97" s="7"/>
      <c r="AS97" s="7"/>
      <c r="AT97" s="33"/>
      <c r="AU97" s="33"/>
      <c r="AV97" s="7"/>
      <c r="AW97" s="33"/>
      <c r="AX97" s="33"/>
      <c r="AY97" s="7"/>
      <c r="AZ97" s="33"/>
      <c r="BA97" s="33"/>
      <c r="BB97" s="7"/>
      <c r="BC97" s="33"/>
      <c r="BD97" s="7"/>
      <c r="BE97" s="33"/>
      <c r="BF97" s="7"/>
      <c r="BG97" s="33"/>
      <c r="BH97" s="7"/>
      <c r="BI97" s="33"/>
      <c r="BJ97" s="7"/>
      <c r="BK97" s="33"/>
      <c r="BL97" s="7"/>
      <c r="BM97" s="33"/>
      <c r="BN97" s="7"/>
      <c r="BO97" s="33"/>
      <c r="BP97" s="14"/>
      <c r="BQ97" s="14"/>
      <c r="BR97" s="7"/>
      <c r="BS97" s="7"/>
      <c r="BT97" s="7"/>
      <c r="BU97" s="15"/>
      <c r="BV97" s="15"/>
      <c r="BW97" s="33"/>
      <c r="BX97" s="33"/>
      <c r="BY97" s="33"/>
      <c r="BZ97" s="36"/>
    </row>
    <row r="98" spans="1:78" s="1" customFormat="1" ht="15" customHeight="1">
      <c r="A98" s="12" t="s">
        <v>7</v>
      </c>
      <c r="B98" s="24" t="s">
        <v>62</v>
      </c>
      <c r="C98" s="24" t="s">
        <v>227</v>
      </c>
      <c r="D98" s="24" t="s">
        <v>13</v>
      </c>
      <c r="E98" s="3">
        <v>255005</v>
      </c>
      <c r="F98" s="9" t="s">
        <v>13</v>
      </c>
      <c r="G98" s="10" t="s">
        <v>13</v>
      </c>
      <c r="H98" s="3">
        <v>4</v>
      </c>
      <c r="I98" s="3">
        <v>36</v>
      </c>
      <c r="J98" s="3">
        <v>1417</v>
      </c>
      <c r="K98" s="3" t="s">
        <v>186</v>
      </c>
      <c r="L98" s="3" t="s">
        <v>189</v>
      </c>
      <c r="M98" s="11" t="s">
        <v>187</v>
      </c>
      <c r="N98" s="11" t="s">
        <v>187</v>
      </c>
      <c r="O98" s="11" t="s">
        <v>193</v>
      </c>
      <c r="P98" s="3" t="s">
        <v>188</v>
      </c>
      <c r="Q98" s="12" t="s">
        <v>110</v>
      </c>
      <c r="R98" s="12" t="s">
        <v>222</v>
      </c>
      <c r="S98" s="12"/>
      <c r="T98" s="12" t="s">
        <v>36</v>
      </c>
      <c r="U98" s="12" t="s">
        <v>13</v>
      </c>
      <c r="V98" s="25" t="s">
        <v>69</v>
      </c>
      <c r="W98" s="34">
        <v>43</v>
      </c>
      <c r="X98" s="24" t="s">
        <v>131</v>
      </c>
      <c r="Y98" s="110" t="s">
        <v>37</v>
      </c>
      <c r="Z98" s="33">
        <v>200000</v>
      </c>
      <c r="AA98" s="33"/>
      <c r="AB98" s="7">
        <f t="shared" ref="AB98:AB104" si="15">Z98+AA98</f>
        <v>200000</v>
      </c>
      <c r="AC98" s="33">
        <v>0</v>
      </c>
      <c r="AD98" s="33">
        <f>AB98+AC98</f>
        <v>200000</v>
      </c>
      <c r="AE98" s="33"/>
      <c r="AF98" s="7">
        <f>+AD98+AE98</f>
        <v>200000</v>
      </c>
      <c r="AG98" s="33"/>
      <c r="AH98" s="33">
        <v>500000</v>
      </c>
      <c r="AI98" s="33">
        <v>200000</v>
      </c>
      <c r="AJ98" s="33">
        <v>200000</v>
      </c>
      <c r="AK98" s="33"/>
      <c r="AL98" s="7">
        <f t="shared" ref="AL98:AL104" si="16">AK98</f>
        <v>0</v>
      </c>
      <c r="AM98" s="33"/>
      <c r="AN98" s="7">
        <f t="shared" ref="AN98:AN104" si="17">AM98</f>
        <v>0</v>
      </c>
      <c r="AO98" s="33"/>
      <c r="AP98" s="33">
        <v>0</v>
      </c>
      <c r="AQ98" s="7">
        <f t="shared" ref="AQ98:AQ104" si="18">AO98+AP98</f>
        <v>0</v>
      </c>
      <c r="AR98" s="7">
        <f t="shared" ref="AR98:AR104" si="19">AK98+AM98+AO98</f>
        <v>0</v>
      </c>
      <c r="AS98" s="7">
        <f t="shared" ref="AS98:AS104" si="20">AL98+AN98+AQ98</f>
        <v>0</v>
      </c>
      <c r="AT98" s="33"/>
      <c r="AU98" s="33"/>
      <c r="AV98" s="7">
        <f t="shared" ref="AV98:AV104" si="21">AT98+AU98</f>
        <v>0</v>
      </c>
      <c r="AW98" s="33"/>
      <c r="AX98" s="33"/>
      <c r="AY98" s="7">
        <f t="shared" ref="AY98:AY104" si="22">AW98+AX98</f>
        <v>0</v>
      </c>
      <c r="AZ98" s="33"/>
      <c r="BA98" s="33"/>
      <c r="BB98" s="7">
        <f>AZ98+BA98</f>
        <v>0</v>
      </c>
      <c r="BC98" s="33"/>
      <c r="BD98" s="7">
        <f t="shared" ref="BD98:BD104" si="23">BC98</f>
        <v>0</v>
      </c>
      <c r="BE98" s="33"/>
      <c r="BF98" s="7">
        <f t="shared" ref="BF98:BF104" si="24">BE98</f>
        <v>0</v>
      </c>
      <c r="BG98" s="33"/>
      <c r="BH98" s="7">
        <f t="shared" ref="BH98:BH104" si="25">BG98</f>
        <v>0</v>
      </c>
      <c r="BI98" s="33"/>
      <c r="BJ98" s="7">
        <f t="shared" ref="BJ98:BJ104" si="26">BI98</f>
        <v>0</v>
      </c>
      <c r="BK98" s="33"/>
      <c r="BL98" s="7">
        <f t="shared" ref="BL98:BL104" si="27">BK98</f>
        <v>0</v>
      </c>
      <c r="BM98" s="33"/>
      <c r="BN98" s="7">
        <f t="shared" ref="BN98:BN104" si="28">BM98</f>
        <v>0</v>
      </c>
      <c r="BO98" s="33"/>
      <c r="BP98" s="14">
        <f t="shared" ref="BP98:BP104" si="29">AK98+AM98+AO98+AT98+AW98+AZ98+BC98+BE98+BG98+BI98+BK98+BM98</f>
        <v>0</v>
      </c>
      <c r="BQ98" s="14">
        <f>AL98+AN98+AQ98+AV98+AY98+BB98</f>
        <v>0</v>
      </c>
      <c r="BR98" s="7"/>
      <c r="BS98" s="7">
        <f>AD98-BP98</f>
        <v>200000</v>
      </c>
      <c r="BT98" s="7">
        <f>AD98-BQ98</f>
        <v>200000</v>
      </c>
      <c r="BU98" s="15">
        <f>BP98/AD98</f>
        <v>0</v>
      </c>
      <c r="BV98" s="15">
        <f>BQ98/AD98</f>
        <v>0</v>
      </c>
      <c r="BW98" s="33"/>
      <c r="BX98" s="33"/>
      <c r="BY98" s="33"/>
      <c r="BZ98" s="36"/>
    </row>
    <row r="99" spans="1:78" s="1" customFormat="1" ht="15" customHeight="1">
      <c r="A99" s="12" t="s">
        <v>7</v>
      </c>
      <c r="B99" s="24" t="s">
        <v>62</v>
      </c>
      <c r="C99" s="24" t="s">
        <v>227</v>
      </c>
      <c r="D99" s="24" t="s">
        <v>13</v>
      </c>
      <c r="E99" s="3">
        <v>255005</v>
      </c>
      <c r="F99" s="9"/>
      <c r="G99" s="10"/>
      <c r="H99" s="3"/>
      <c r="I99" s="3"/>
      <c r="J99" s="3"/>
      <c r="K99" s="3"/>
      <c r="L99" s="3"/>
      <c r="M99" s="11"/>
      <c r="N99" s="11"/>
      <c r="O99" s="11"/>
      <c r="P99" s="3"/>
      <c r="Q99" s="12"/>
      <c r="R99" s="12"/>
      <c r="S99" s="12"/>
      <c r="T99" s="12"/>
      <c r="U99" s="12"/>
      <c r="V99" s="25"/>
      <c r="W99" s="34"/>
      <c r="X99" s="24" t="s">
        <v>459</v>
      </c>
      <c r="Y99" s="110" t="s">
        <v>460</v>
      </c>
      <c r="Z99" s="33"/>
      <c r="AA99" s="33"/>
      <c r="AB99" s="7"/>
      <c r="AC99" s="33"/>
      <c r="AD99" s="33"/>
      <c r="AE99" s="33"/>
      <c r="AF99" s="7"/>
      <c r="AG99" s="33"/>
      <c r="AH99" s="33">
        <v>1000000</v>
      </c>
      <c r="AI99" s="33">
        <v>0</v>
      </c>
      <c r="AJ99" s="33">
        <v>0</v>
      </c>
      <c r="AK99" s="33"/>
      <c r="AL99" s="7"/>
      <c r="AM99" s="33"/>
      <c r="AN99" s="7"/>
      <c r="AO99" s="33"/>
      <c r="AP99" s="33"/>
      <c r="AQ99" s="7"/>
      <c r="AR99" s="7"/>
      <c r="AS99" s="7"/>
      <c r="AT99" s="33"/>
      <c r="AU99" s="33"/>
      <c r="AV99" s="7"/>
      <c r="AW99" s="33"/>
      <c r="AX99" s="33"/>
      <c r="AY99" s="7"/>
      <c r="AZ99" s="33"/>
      <c r="BA99" s="33"/>
      <c r="BB99" s="7"/>
      <c r="BC99" s="33"/>
      <c r="BD99" s="7"/>
      <c r="BE99" s="33"/>
      <c r="BF99" s="7"/>
      <c r="BG99" s="33"/>
      <c r="BH99" s="7"/>
      <c r="BI99" s="33"/>
      <c r="BJ99" s="7"/>
      <c r="BK99" s="33"/>
      <c r="BL99" s="7"/>
      <c r="BM99" s="33"/>
      <c r="BN99" s="7"/>
      <c r="BO99" s="33"/>
      <c r="BP99" s="14"/>
      <c r="BQ99" s="14"/>
      <c r="BR99" s="7"/>
      <c r="BS99" s="7"/>
      <c r="BT99" s="7"/>
      <c r="BU99" s="15"/>
      <c r="BV99" s="15"/>
      <c r="BW99" s="33"/>
      <c r="BX99" s="33"/>
      <c r="BY99" s="33"/>
      <c r="BZ99" s="36"/>
    </row>
    <row r="100" spans="1:78" s="1" customFormat="1" ht="17.100000000000001" customHeight="1" thickBot="1">
      <c r="A100" s="12"/>
      <c r="B100" s="24"/>
      <c r="C100" s="24"/>
      <c r="D100" s="24"/>
      <c r="E100" s="3"/>
      <c r="F100" s="9"/>
      <c r="G100" s="10"/>
      <c r="H100" s="3"/>
      <c r="I100" s="3"/>
      <c r="J100" s="3"/>
      <c r="K100" s="3"/>
      <c r="L100" s="3"/>
      <c r="M100" s="11"/>
      <c r="N100" s="11"/>
      <c r="O100" s="11"/>
      <c r="P100" s="3"/>
      <c r="Q100" s="12"/>
      <c r="R100" s="12"/>
      <c r="S100" s="12"/>
      <c r="T100" s="12"/>
      <c r="U100" s="12"/>
      <c r="V100" s="25"/>
      <c r="W100" s="34"/>
      <c r="X100" s="24"/>
      <c r="Y100" s="110"/>
      <c r="Z100" s="33"/>
      <c r="AA100" s="33"/>
      <c r="AB100" s="7"/>
      <c r="AC100" s="33"/>
      <c r="AD100" s="33"/>
      <c r="AE100" s="33"/>
      <c r="AF100" s="7"/>
      <c r="AG100" s="33"/>
      <c r="AH100" s="325">
        <f>SUM(AH98:AH99)</f>
        <v>1500000</v>
      </c>
      <c r="AI100" s="325">
        <f>SUM(AI98:AI99)</f>
        <v>200000</v>
      </c>
      <c r="AJ100" s="325">
        <f>SUM(AJ98:AJ99)</f>
        <v>200000</v>
      </c>
      <c r="AK100" s="33"/>
      <c r="AL100" s="7"/>
      <c r="AM100" s="33"/>
      <c r="AN100" s="7"/>
      <c r="AO100" s="33"/>
      <c r="AP100" s="33"/>
      <c r="AQ100" s="7"/>
      <c r="AR100" s="7"/>
      <c r="AS100" s="7"/>
      <c r="AT100" s="33"/>
      <c r="AU100" s="33"/>
      <c r="AV100" s="7"/>
      <c r="AW100" s="33"/>
      <c r="AX100" s="33"/>
      <c r="AY100" s="7"/>
      <c r="AZ100" s="33"/>
      <c r="BA100" s="33"/>
      <c r="BB100" s="7"/>
      <c r="BC100" s="33"/>
      <c r="BD100" s="7"/>
      <c r="BE100" s="33"/>
      <c r="BF100" s="7"/>
      <c r="BG100" s="33"/>
      <c r="BH100" s="7"/>
      <c r="BI100" s="33"/>
      <c r="BJ100" s="7"/>
      <c r="BK100" s="33"/>
      <c r="BL100" s="7"/>
      <c r="BM100" s="33"/>
      <c r="BN100" s="7"/>
      <c r="BO100" s="33"/>
      <c r="BP100" s="14"/>
      <c r="BQ100" s="14"/>
      <c r="BR100" s="7"/>
      <c r="BS100" s="7"/>
      <c r="BT100" s="7"/>
      <c r="BU100" s="15"/>
      <c r="BV100" s="15"/>
      <c r="BW100" s="33"/>
      <c r="BX100" s="33"/>
      <c r="BY100" s="33"/>
      <c r="BZ100" s="36"/>
    </row>
    <row r="101" spans="1:78" s="1" customFormat="1" ht="15" customHeight="1">
      <c r="A101" s="12"/>
      <c r="B101" s="24"/>
      <c r="C101" s="24"/>
      <c r="D101" s="24"/>
      <c r="E101" s="3"/>
      <c r="F101" s="9"/>
      <c r="G101" s="10"/>
      <c r="H101" s="3"/>
      <c r="I101" s="3"/>
      <c r="J101" s="3"/>
      <c r="K101" s="3"/>
      <c r="L101" s="3"/>
      <c r="M101" s="11"/>
      <c r="N101" s="11"/>
      <c r="O101" s="11"/>
      <c r="P101" s="3"/>
      <c r="Q101" s="12"/>
      <c r="R101" s="12"/>
      <c r="S101" s="12"/>
      <c r="T101" s="12"/>
      <c r="U101" s="12"/>
      <c r="V101" s="25"/>
      <c r="W101" s="34"/>
      <c r="X101" s="24"/>
      <c r="Y101" s="110"/>
      <c r="Z101" s="33"/>
      <c r="AA101" s="33"/>
      <c r="AB101" s="7"/>
      <c r="AC101" s="33"/>
      <c r="AD101" s="33"/>
      <c r="AE101" s="33"/>
      <c r="AF101" s="7"/>
      <c r="AG101" s="33"/>
      <c r="AH101" s="33"/>
      <c r="AI101" s="33"/>
      <c r="AJ101" s="33"/>
      <c r="AK101" s="33"/>
      <c r="AL101" s="7"/>
      <c r="AM101" s="33"/>
      <c r="AN101" s="7"/>
      <c r="AO101" s="33"/>
      <c r="AP101" s="33"/>
      <c r="AQ101" s="7"/>
      <c r="AR101" s="7"/>
      <c r="AS101" s="7"/>
      <c r="AT101" s="33"/>
      <c r="AU101" s="33"/>
      <c r="AV101" s="7"/>
      <c r="AW101" s="33"/>
      <c r="AX101" s="33"/>
      <c r="AY101" s="7"/>
      <c r="AZ101" s="33"/>
      <c r="BA101" s="33"/>
      <c r="BB101" s="7"/>
      <c r="BC101" s="33"/>
      <c r="BD101" s="7"/>
      <c r="BE101" s="33"/>
      <c r="BF101" s="7"/>
      <c r="BG101" s="33"/>
      <c r="BH101" s="7"/>
      <c r="BI101" s="33"/>
      <c r="BJ101" s="7"/>
      <c r="BK101" s="33"/>
      <c r="BL101" s="7"/>
      <c r="BM101" s="33"/>
      <c r="BN101" s="7"/>
      <c r="BO101" s="33"/>
      <c r="BP101" s="14"/>
      <c r="BQ101" s="14"/>
      <c r="BR101" s="7"/>
      <c r="BS101" s="7"/>
      <c r="BT101" s="7"/>
      <c r="BU101" s="15"/>
      <c r="BV101" s="15"/>
      <c r="BW101" s="33"/>
      <c r="BX101" s="33"/>
      <c r="BY101" s="33"/>
      <c r="BZ101" s="36"/>
    </row>
    <row r="102" spans="1:78" s="1" customFormat="1" ht="15" customHeight="1">
      <c r="A102" s="12" t="s">
        <v>7</v>
      </c>
      <c r="B102" s="24" t="s">
        <v>62</v>
      </c>
      <c r="C102" s="24" t="s">
        <v>227</v>
      </c>
      <c r="D102" s="24" t="s">
        <v>13</v>
      </c>
      <c r="E102" s="3">
        <v>255005</v>
      </c>
      <c r="F102" s="9" t="s">
        <v>13</v>
      </c>
      <c r="G102" s="10" t="s">
        <v>13</v>
      </c>
      <c r="H102" s="3">
        <v>4</v>
      </c>
      <c r="I102" s="3">
        <v>36</v>
      </c>
      <c r="J102" s="3">
        <v>1418</v>
      </c>
      <c r="K102" s="3" t="s">
        <v>186</v>
      </c>
      <c r="L102" s="3" t="s">
        <v>189</v>
      </c>
      <c r="M102" s="11" t="s">
        <v>187</v>
      </c>
      <c r="N102" s="11" t="s">
        <v>187</v>
      </c>
      <c r="O102" s="11" t="s">
        <v>193</v>
      </c>
      <c r="P102" s="3" t="s">
        <v>188</v>
      </c>
      <c r="Q102" s="12" t="s">
        <v>110</v>
      </c>
      <c r="R102" s="12" t="s">
        <v>222</v>
      </c>
      <c r="S102" s="12"/>
      <c r="T102" s="12" t="s">
        <v>36</v>
      </c>
      <c r="U102" s="12" t="s">
        <v>13</v>
      </c>
      <c r="V102" s="25" t="s">
        <v>69</v>
      </c>
      <c r="W102" s="34">
        <v>46</v>
      </c>
      <c r="X102" s="24" t="s">
        <v>132</v>
      </c>
      <c r="Y102" s="110" t="s">
        <v>37</v>
      </c>
      <c r="Z102" s="33">
        <v>2000000</v>
      </c>
      <c r="AA102" s="33"/>
      <c r="AB102" s="7">
        <f t="shared" si="15"/>
        <v>2000000</v>
      </c>
      <c r="AC102" s="33">
        <v>0</v>
      </c>
      <c r="AD102" s="33">
        <f>AB102+AC102</f>
        <v>2000000</v>
      </c>
      <c r="AE102" s="33"/>
      <c r="AF102" s="7">
        <f>+AD102+AE102</f>
        <v>2000000</v>
      </c>
      <c r="AG102" s="33"/>
      <c r="AH102" s="323">
        <v>5000000</v>
      </c>
      <c r="AI102" s="323">
        <f>500000+70000000-70000000</f>
        <v>500000</v>
      </c>
      <c r="AJ102" s="323">
        <v>500000</v>
      </c>
      <c r="AK102" s="33"/>
      <c r="AL102" s="7">
        <f t="shared" si="16"/>
        <v>0</v>
      </c>
      <c r="AM102" s="33"/>
      <c r="AN102" s="7">
        <f t="shared" si="17"/>
        <v>0</v>
      </c>
      <c r="AO102" s="33"/>
      <c r="AP102" s="33">
        <v>0</v>
      </c>
      <c r="AQ102" s="7">
        <f t="shared" si="18"/>
        <v>0</v>
      </c>
      <c r="AR102" s="7">
        <f t="shared" si="19"/>
        <v>0</v>
      </c>
      <c r="AS102" s="7">
        <f t="shared" si="20"/>
        <v>0</v>
      </c>
      <c r="AT102" s="33"/>
      <c r="AU102" s="33"/>
      <c r="AV102" s="7">
        <f t="shared" si="21"/>
        <v>0</v>
      </c>
      <c r="AW102" s="33"/>
      <c r="AX102" s="33"/>
      <c r="AY102" s="7">
        <f t="shared" si="22"/>
        <v>0</v>
      </c>
      <c r="AZ102" s="33"/>
      <c r="BA102" s="33"/>
      <c r="BB102" s="7">
        <f>AZ102+BA102</f>
        <v>0</v>
      </c>
      <c r="BC102" s="33"/>
      <c r="BD102" s="7">
        <f t="shared" si="23"/>
        <v>0</v>
      </c>
      <c r="BE102" s="33"/>
      <c r="BF102" s="7">
        <f t="shared" si="24"/>
        <v>0</v>
      </c>
      <c r="BG102" s="33"/>
      <c r="BH102" s="7">
        <f t="shared" si="25"/>
        <v>0</v>
      </c>
      <c r="BI102" s="33"/>
      <c r="BJ102" s="7">
        <f t="shared" si="26"/>
        <v>0</v>
      </c>
      <c r="BK102" s="33"/>
      <c r="BL102" s="7">
        <f t="shared" si="27"/>
        <v>0</v>
      </c>
      <c r="BM102" s="33"/>
      <c r="BN102" s="7">
        <f t="shared" si="28"/>
        <v>0</v>
      </c>
      <c r="BO102" s="33"/>
      <c r="BP102" s="14">
        <f t="shared" si="29"/>
        <v>0</v>
      </c>
      <c r="BQ102" s="14">
        <f>AL102+AN102+AQ102+AV102+AY102+BB102</f>
        <v>0</v>
      </c>
      <c r="BR102" s="7"/>
      <c r="BS102" s="7">
        <f>AD102-BP102</f>
        <v>2000000</v>
      </c>
      <c r="BT102" s="7">
        <f>AD102-BQ102</f>
        <v>2000000</v>
      </c>
      <c r="BU102" s="15">
        <f>BP102/AD102</f>
        <v>0</v>
      </c>
      <c r="BV102" s="15">
        <f>BQ102/AD102</f>
        <v>0</v>
      </c>
      <c r="BW102" s="33">
        <f>70000000+70000000</f>
        <v>140000000</v>
      </c>
      <c r="BX102" s="33"/>
      <c r="BY102" s="33" t="s">
        <v>435</v>
      </c>
      <c r="BZ102" s="36"/>
    </row>
    <row r="103" spans="1:78" s="1" customFormat="1" ht="15" customHeight="1">
      <c r="A103" s="12"/>
      <c r="B103" s="24"/>
      <c r="C103" s="24"/>
      <c r="D103" s="24"/>
      <c r="E103" s="3"/>
      <c r="F103" s="9"/>
      <c r="G103" s="10"/>
      <c r="H103" s="3"/>
      <c r="I103" s="3"/>
      <c r="J103" s="3"/>
      <c r="K103" s="3"/>
      <c r="L103" s="3"/>
      <c r="M103" s="11"/>
      <c r="N103" s="11"/>
      <c r="O103" s="11"/>
      <c r="P103" s="3"/>
      <c r="Q103" s="12"/>
      <c r="R103" s="12"/>
      <c r="S103" s="12"/>
      <c r="T103" s="12"/>
      <c r="U103" s="12"/>
      <c r="V103" s="25"/>
      <c r="W103" s="34"/>
      <c r="X103" s="24"/>
      <c r="Y103" s="110"/>
      <c r="Z103" s="33"/>
      <c r="AA103" s="33"/>
      <c r="AB103" s="7"/>
      <c r="AC103" s="33"/>
      <c r="AD103" s="33"/>
      <c r="AE103" s="33"/>
      <c r="AF103" s="7"/>
      <c r="AG103" s="33"/>
      <c r="AH103" s="33"/>
      <c r="AI103" s="33"/>
      <c r="AJ103" s="33"/>
      <c r="AK103" s="33"/>
      <c r="AL103" s="7"/>
      <c r="AM103" s="33"/>
      <c r="AN103" s="7"/>
      <c r="AO103" s="33"/>
      <c r="AP103" s="33"/>
      <c r="AQ103" s="7"/>
      <c r="AR103" s="7"/>
      <c r="AS103" s="7"/>
      <c r="AT103" s="33"/>
      <c r="AU103" s="33"/>
      <c r="AV103" s="7"/>
      <c r="AW103" s="33"/>
      <c r="AX103" s="33"/>
      <c r="AY103" s="7"/>
      <c r="AZ103" s="33"/>
      <c r="BA103" s="33"/>
      <c r="BB103" s="7"/>
      <c r="BC103" s="33"/>
      <c r="BD103" s="7"/>
      <c r="BE103" s="33"/>
      <c r="BF103" s="7"/>
      <c r="BG103" s="33"/>
      <c r="BH103" s="7"/>
      <c r="BI103" s="33"/>
      <c r="BJ103" s="7"/>
      <c r="BK103" s="33"/>
      <c r="BL103" s="7"/>
      <c r="BM103" s="33"/>
      <c r="BN103" s="7"/>
      <c r="BO103" s="33"/>
      <c r="BP103" s="14"/>
      <c r="BQ103" s="14"/>
      <c r="BR103" s="7"/>
      <c r="BS103" s="7"/>
      <c r="BT103" s="7"/>
      <c r="BU103" s="15"/>
      <c r="BV103" s="15"/>
      <c r="BW103" s="33"/>
      <c r="BX103" s="33"/>
      <c r="BY103" s="33"/>
      <c r="BZ103" s="36"/>
    </row>
    <row r="104" spans="1:78" s="1" customFormat="1" ht="15" customHeight="1">
      <c r="A104" s="12" t="s">
        <v>7</v>
      </c>
      <c r="B104" s="24" t="s">
        <v>62</v>
      </c>
      <c r="C104" s="24" t="s">
        <v>227</v>
      </c>
      <c r="D104" s="24"/>
      <c r="E104" s="3">
        <v>255005</v>
      </c>
      <c r="F104" s="9" t="s">
        <v>13</v>
      </c>
      <c r="G104" s="10" t="s">
        <v>13</v>
      </c>
      <c r="H104" s="3">
        <v>4</v>
      </c>
      <c r="I104" s="3">
        <v>35</v>
      </c>
      <c r="J104" s="3">
        <v>1409</v>
      </c>
      <c r="K104" s="3" t="s">
        <v>186</v>
      </c>
      <c r="L104" s="3" t="s">
        <v>189</v>
      </c>
      <c r="M104" s="11" t="s">
        <v>187</v>
      </c>
      <c r="N104" s="11" t="s">
        <v>187</v>
      </c>
      <c r="O104" s="11" t="s">
        <v>193</v>
      </c>
      <c r="P104" s="3" t="s">
        <v>188</v>
      </c>
      <c r="Q104" s="12" t="s">
        <v>110</v>
      </c>
      <c r="R104" s="12" t="s">
        <v>222</v>
      </c>
      <c r="S104" s="12"/>
      <c r="T104" s="12" t="s">
        <v>36</v>
      </c>
      <c r="U104" s="12" t="s">
        <v>13</v>
      </c>
      <c r="V104" s="25" t="s">
        <v>69</v>
      </c>
      <c r="W104" s="34" t="s">
        <v>142</v>
      </c>
      <c r="X104" s="24" t="s">
        <v>167</v>
      </c>
      <c r="Y104" s="110" t="s">
        <v>38</v>
      </c>
      <c r="Z104" s="33">
        <v>390000</v>
      </c>
      <c r="AA104" s="33"/>
      <c r="AB104" s="7">
        <f t="shared" si="15"/>
        <v>390000</v>
      </c>
      <c r="AC104" s="33"/>
      <c r="AD104" s="33">
        <f>AB104+AC104</f>
        <v>390000</v>
      </c>
      <c r="AE104" s="33"/>
      <c r="AF104" s="7">
        <f>+AD104+AE104</f>
        <v>390000</v>
      </c>
      <c r="AG104" s="33"/>
      <c r="AH104" s="33">
        <v>500000</v>
      </c>
      <c r="AI104" s="33">
        <v>1000000</v>
      </c>
      <c r="AJ104" s="33"/>
      <c r="AK104" s="33"/>
      <c r="AL104" s="7">
        <f t="shared" si="16"/>
        <v>0</v>
      </c>
      <c r="AM104" s="33"/>
      <c r="AN104" s="7">
        <f t="shared" si="17"/>
        <v>0</v>
      </c>
      <c r="AO104" s="33"/>
      <c r="AP104" s="33"/>
      <c r="AQ104" s="7">
        <f t="shared" si="18"/>
        <v>0</v>
      </c>
      <c r="AR104" s="7">
        <f t="shared" si="19"/>
        <v>0</v>
      </c>
      <c r="AS104" s="7">
        <f t="shared" si="20"/>
        <v>0</v>
      </c>
      <c r="AT104" s="33"/>
      <c r="AU104" s="33"/>
      <c r="AV104" s="7">
        <f t="shared" si="21"/>
        <v>0</v>
      </c>
      <c r="AW104" s="33">
        <v>60641.08</v>
      </c>
      <c r="AX104" s="33"/>
      <c r="AY104" s="7">
        <f t="shared" si="22"/>
        <v>60641.08</v>
      </c>
      <c r="AZ104" s="33"/>
      <c r="BA104" s="33"/>
      <c r="BB104" s="7">
        <f>AZ104+BA104</f>
        <v>0</v>
      </c>
      <c r="BC104" s="33"/>
      <c r="BD104" s="7">
        <f t="shared" si="23"/>
        <v>0</v>
      </c>
      <c r="BE104" s="33"/>
      <c r="BF104" s="7">
        <f t="shared" si="24"/>
        <v>0</v>
      </c>
      <c r="BG104" s="33"/>
      <c r="BH104" s="7">
        <f t="shared" si="25"/>
        <v>0</v>
      </c>
      <c r="BI104" s="33"/>
      <c r="BJ104" s="7">
        <f t="shared" si="26"/>
        <v>0</v>
      </c>
      <c r="BK104" s="33"/>
      <c r="BL104" s="7">
        <f t="shared" si="27"/>
        <v>0</v>
      </c>
      <c r="BM104" s="33"/>
      <c r="BN104" s="7">
        <f t="shared" si="28"/>
        <v>0</v>
      </c>
      <c r="BO104" s="33"/>
      <c r="BP104" s="14">
        <f t="shared" si="29"/>
        <v>60641.08</v>
      </c>
      <c r="BQ104" s="14">
        <f>AL104+AN104+AQ104+AV104+AY104+BB104</f>
        <v>60641.08</v>
      </c>
      <c r="BR104" s="7"/>
      <c r="BS104" s="7">
        <f>AD104-BP104</f>
        <v>329358.92</v>
      </c>
      <c r="BT104" s="7">
        <f>AD104-BQ104</f>
        <v>329358.92</v>
      </c>
      <c r="BU104" s="15">
        <f>BP104/AD104</f>
        <v>0.15548994871794872</v>
      </c>
      <c r="BV104" s="15">
        <f>BQ104/AD104</f>
        <v>0.15548994871794872</v>
      </c>
      <c r="BW104" s="300"/>
      <c r="BX104" s="300"/>
      <c r="BY104" s="33"/>
      <c r="BZ104" s="36"/>
    </row>
    <row r="105" spans="1:78" s="1" customFormat="1" ht="15" customHeight="1">
      <c r="A105" s="12" t="s">
        <v>7</v>
      </c>
      <c r="B105" s="24" t="s">
        <v>62</v>
      </c>
      <c r="C105" s="24" t="s">
        <v>227</v>
      </c>
      <c r="D105" s="24"/>
      <c r="E105" s="3">
        <v>255005</v>
      </c>
      <c r="F105" s="9"/>
      <c r="G105" s="10"/>
      <c r="H105" s="3"/>
      <c r="I105" s="11"/>
      <c r="J105" s="3"/>
      <c r="K105" s="11"/>
      <c r="L105" s="11"/>
      <c r="M105" s="11"/>
      <c r="N105" s="11"/>
      <c r="O105" s="11"/>
      <c r="P105" s="11"/>
      <c r="Q105" s="12"/>
      <c r="R105" s="12"/>
      <c r="S105" s="12"/>
      <c r="T105" s="12"/>
      <c r="U105" s="12"/>
      <c r="V105" s="13"/>
      <c r="W105" s="34"/>
      <c r="X105" s="24" t="s">
        <v>467</v>
      </c>
      <c r="Y105" s="110" t="s">
        <v>460</v>
      </c>
      <c r="Z105" s="33"/>
      <c r="AA105" s="33"/>
      <c r="AB105" s="7"/>
      <c r="AC105" s="33"/>
      <c r="AD105" s="33"/>
      <c r="AE105" s="33"/>
      <c r="AF105" s="7"/>
      <c r="AG105" s="33"/>
      <c r="AH105" s="33">
        <v>10327914</v>
      </c>
      <c r="AI105" s="33">
        <v>10818705</v>
      </c>
      <c r="AJ105" s="33">
        <v>0</v>
      </c>
      <c r="AK105" s="33"/>
      <c r="AL105" s="7"/>
      <c r="AM105" s="33"/>
      <c r="AN105" s="7"/>
      <c r="AO105" s="33"/>
      <c r="AP105" s="33"/>
      <c r="AQ105" s="7"/>
      <c r="AR105" s="7"/>
      <c r="AS105" s="7"/>
      <c r="AT105" s="33"/>
      <c r="AU105" s="33"/>
      <c r="AV105" s="7"/>
      <c r="AW105" s="33"/>
      <c r="AX105" s="33"/>
      <c r="AY105" s="7"/>
      <c r="AZ105" s="33"/>
      <c r="BA105" s="33"/>
      <c r="BB105" s="7"/>
      <c r="BC105" s="33"/>
      <c r="BD105" s="7"/>
      <c r="BE105" s="33"/>
      <c r="BF105" s="7"/>
      <c r="BG105" s="33"/>
      <c r="BH105" s="7"/>
      <c r="BI105" s="33"/>
      <c r="BJ105" s="7"/>
      <c r="BK105" s="33"/>
      <c r="BL105" s="7"/>
      <c r="BM105" s="33"/>
      <c r="BN105" s="7"/>
      <c r="BO105" s="33"/>
      <c r="BP105" s="14"/>
      <c r="BQ105" s="14"/>
      <c r="BR105" s="7"/>
      <c r="BS105" s="7"/>
      <c r="BT105" s="7"/>
      <c r="BU105" s="15"/>
      <c r="BV105" s="15"/>
      <c r="BW105" s="300"/>
      <c r="BX105" s="300"/>
      <c r="BY105" s="33"/>
      <c r="BZ105" s="36"/>
    </row>
    <row r="106" spans="1:78" s="1" customFormat="1" ht="17.100000000000001" customHeight="1" thickBot="1">
      <c r="A106" s="9"/>
      <c r="B106" s="24"/>
      <c r="C106" s="24"/>
      <c r="D106" s="24"/>
      <c r="E106" s="3"/>
      <c r="F106" s="9"/>
      <c r="G106" s="10"/>
      <c r="H106" s="3"/>
      <c r="I106" s="11"/>
      <c r="J106" s="3"/>
      <c r="K106" s="11"/>
      <c r="L106" s="11"/>
      <c r="M106" s="11"/>
      <c r="N106" s="11"/>
      <c r="O106" s="11"/>
      <c r="P106" s="11"/>
      <c r="Q106" s="12"/>
      <c r="R106" s="12"/>
      <c r="S106" s="12"/>
      <c r="T106" s="12"/>
      <c r="U106" s="12"/>
      <c r="V106" s="13"/>
      <c r="W106" s="34"/>
      <c r="X106" s="24"/>
      <c r="Y106" s="12"/>
      <c r="Z106" s="33"/>
      <c r="AA106" s="33"/>
      <c r="AB106" s="7"/>
      <c r="AC106" s="33"/>
      <c r="AD106" s="33"/>
      <c r="AE106" s="33"/>
      <c r="AF106" s="7"/>
      <c r="AG106" s="33"/>
      <c r="AH106" s="325">
        <f>SUM(AH104:AH105)</f>
        <v>10827914</v>
      </c>
      <c r="AI106" s="325">
        <f>SUM(AI104:AI105)</f>
        <v>11818705</v>
      </c>
      <c r="AJ106" s="325">
        <f>SUM(AJ104:AJ105)</f>
        <v>0</v>
      </c>
      <c r="AK106" s="33"/>
      <c r="AL106" s="7"/>
      <c r="AM106" s="33"/>
      <c r="AN106" s="7"/>
      <c r="AO106" s="33"/>
      <c r="AP106" s="33"/>
      <c r="AQ106" s="7"/>
      <c r="AR106" s="7"/>
      <c r="AS106" s="7"/>
      <c r="AT106" s="33"/>
      <c r="AU106" s="33"/>
      <c r="AV106" s="7"/>
      <c r="AW106" s="33"/>
      <c r="AX106" s="33"/>
      <c r="AY106" s="7"/>
      <c r="AZ106" s="33"/>
      <c r="BA106" s="33"/>
      <c r="BB106" s="7"/>
      <c r="BC106" s="33"/>
      <c r="BD106" s="7"/>
      <c r="BE106" s="33"/>
      <c r="BF106" s="7"/>
      <c r="BG106" s="33"/>
      <c r="BH106" s="7"/>
      <c r="BI106" s="33"/>
      <c r="BJ106" s="7"/>
      <c r="BK106" s="33"/>
      <c r="BL106" s="7"/>
      <c r="BM106" s="33"/>
      <c r="BN106" s="7"/>
      <c r="BO106" s="33"/>
      <c r="BP106" s="14"/>
      <c r="BQ106" s="14"/>
      <c r="BR106" s="7"/>
      <c r="BS106" s="7"/>
      <c r="BT106" s="7"/>
      <c r="BU106" s="15"/>
      <c r="BV106" s="15"/>
      <c r="BW106" s="300"/>
      <c r="BX106" s="300"/>
      <c r="BY106" s="33"/>
      <c r="BZ106" s="36"/>
    </row>
    <row r="107" spans="1:78" s="1" customFormat="1" ht="15" customHeight="1">
      <c r="A107" s="12" t="s">
        <v>7</v>
      </c>
      <c r="B107" s="24" t="s">
        <v>62</v>
      </c>
      <c r="C107" s="24" t="s">
        <v>227</v>
      </c>
      <c r="D107" s="24"/>
      <c r="E107" s="3">
        <v>255005</v>
      </c>
      <c r="F107" s="9"/>
      <c r="G107" s="10"/>
      <c r="H107" s="3"/>
      <c r="I107" s="11"/>
      <c r="J107" s="3"/>
      <c r="K107" s="11"/>
      <c r="L107" s="11"/>
      <c r="M107" s="11"/>
      <c r="N107" s="11"/>
      <c r="O107" s="11"/>
      <c r="P107" s="11"/>
      <c r="Q107" s="12"/>
      <c r="R107" s="12"/>
      <c r="S107" s="12"/>
      <c r="T107" s="12"/>
      <c r="U107" s="12"/>
      <c r="V107" s="13"/>
      <c r="W107" s="34"/>
      <c r="X107" s="24" t="s">
        <v>484</v>
      </c>
      <c r="Y107" s="12"/>
      <c r="Z107" s="33"/>
      <c r="AA107" s="33"/>
      <c r="AB107" s="7"/>
      <c r="AC107" s="33"/>
      <c r="AD107" s="33"/>
      <c r="AE107" s="33"/>
      <c r="AF107" s="7"/>
      <c r="AG107" s="33"/>
      <c r="AH107" s="33"/>
      <c r="AI107" s="33"/>
      <c r="AJ107" s="33"/>
      <c r="AK107" s="33"/>
      <c r="AL107" s="7"/>
      <c r="AM107" s="33"/>
      <c r="AN107" s="7"/>
      <c r="AO107" s="33"/>
      <c r="AP107" s="33"/>
      <c r="AQ107" s="7"/>
      <c r="AR107" s="7"/>
      <c r="AS107" s="7"/>
      <c r="AT107" s="33"/>
      <c r="AU107" s="33"/>
      <c r="AV107" s="7"/>
      <c r="AW107" s="33"/>
      <c r="AX107" s="33"/>
      <c r="AY107" s="7"/>
      <c r="AZ107" s="33"/>
      <c r="BA107" s="33"/>
      <c r="BB107" s="7"/>
      <c r="BC107" s="33"/>
      <c r="BD107" s="7"/>
      <c r="BE107" s="33"/>
      <c r="BF107" s="7"/>
      <c r="BG107" s="33"/>
      <c r="BH107" s="7"/>
      <c r="BI107" s="33"/>
      <c r="BJ107" s="7"/>
      <c r="BK107" s="33"/>
      <c r="BL107" s="7"/>
      <c r="BM107" s="33"/>
      <c r="BN107" s="7"/>
      <c r="BO107" s="33"/>
      <c r="BP107" s="14"/>
      <c r="BQ107" s="14"/>
      <c r="BR107" s="7"/>
      <c r="BS107" s="7"/>
      <c r="BT107" s="7"/>
      <c r="BU107" s="15"/>
      <c r="BV107" s="15"/>
      <c r="BW107" s="300"/>
      <c r="BX107" s="300"/>
      <c r="BY107" s="33"/>
      <c r="BZ107" s="36"/>
    </row>
    <row r="108" spans="1:78" s="1" customFormat="1" ht="15" customHeight="1">
      <c r="A108" s="9"/>
      <c r="B108" s="24"/>
      <c r="C108" s="24"/>
      <c r="D108" s="24"/>
      <c r="E108" s="3"/>
      <c r="F108" s="9"/>
      <c r="G108" s="10"/>
      <c r="H108" s="3"/>
      <c r="I108" s="11"/>
      <c r="J108" s="3"/>
      <c r="K108" s="11"/>
      <c r="L108" s="11"/>
      <c r="M108" s="11"/>
      <c r="N108" s="11"/>
      <c r="O108" s="11"/>
      <c r="P108" s="11"/>
      <c r="Q108" s="12"/>
      <c r="R108" s="12"/>
      <c r="S108" s="12"/>
      <c r="T108" s="12"/>
      <c r="U108" s="12"/>
      <c r="V108" s="13"/>
      <c r="W108" s="34"/>
      <c r="X108" s="24"/>
      <c r="Y108" s="12"/>
      <c r="Z108" s="33"/>
      <c r="AA108" s="33"/>
      <c r="AB108" s="7"/>
      <c r="AC108" s="33"/>
      <c r="AD108" s="33"/>
      <c r="AE108" s="33"/>
      <c r="AF108" s="7"/>
      <c r="AG108" s="33"/>
      <c r="AH108" s="323">
        <v>23000000</v>
      </c>
      <c r="AI108" s="323">
        <v>100000</v>
      </c>
      <c r="AJ108" s="323">
        <v>0</v>
      </c>
      <c r="AK108" s="33"/>
      <c r="AL108" s="7"/>
      <c r="AM108" s="33"/>
      <c r="AN108" s="7"/>
      <c r="AO108" s="33"/>
      <c r="AP108" s="33"/>
      <c r="AQ108" s="7"/>
      <c r="AR108" s="7"/>
      <c r="AS108" s="7"/>
      <c r="AT108" s="33"/>
      <c r="AU108" s="33"/>
      <c r="AV108" s="7"/>
      <c r="AW108" s="33"/>
      <c r="AX108" s="33"/>
      <c r="AY108" s="7"/>
      <c r="AZ108" s="33"/>
      <c r="BA108" s="33"/>
      <c r="BB108" s="7"/>
      <c r="BC108" s="33"/>
      <c r="BD108" s="7"/>
      <c r="BE108" s="33"/>
      <c r="BF108" s="7"/>
      <c r="BG108" s="33"/>
      <c r="BH108" s="7"/>
      <c r="BI108" s="33"/>
      <c r="BJ108" s="7"/>
      <c r="BK108" s="33"/>
      <c r="BL108" s="7"/>
      <c r="BM108" s="33"/>
      <c r="BN108" s="7"/>
      <c r="BO108" s="33"/>
      <c r="BP108" s="14"/>
      <c r="BQ108" s="14"/>
      <c r="BR108" s="7"/>
      <c r="BS108" s="7"/>
      <c r="BT108" s="7"/>
      <c r="BU108" s="15"/>
      <c r="BV108" s="15"/>
      <c r="BW108" s="300"/>
      <c r="BX108" s="300"/>
      <c r="BY108" s="33"/>
      <c r="BZ108" s="36"/>
    </row>
    <row r="109" spans="1:78" s="1" customFormat="1" ht="15" customHeight="1">
      <c r="A109" s="9"/>
      <c r="B109" s="24"/>
      <c r="C109" s="24"/>
      <c r="D109" s="24"/>
      <c r="E109" s="3"/>
      <c r="F109" s="9"/>
      <c r="G109" s="10"/>
      <c r="H109" s="3"/>
      <c r="I109" s="11"/>
      <c r="J109" s="3"/>
      <c r="K109" s="11"/>
      <c r="L109" s="11"/>
      <c r="M109" s="11"/>
      <c r="N109" s="11"/>
      <c r="O109" s="11"/>
      <c r="P109" s="11"/>
      <c r="Q109" s="12"/>
      <c r="R109" s="12"/>
      <c r="S109" s="12"/>
      <c r="T109" s="12"/>
      <c r="U109" s="12"/>
      <c r="V109" s="13"/>
      <c r="W109" s="34"/>
      <c r="X109" s="24"/>
      <c r="Y109" s="12"/>
      <c r="Z109" s="33"/>
      <c r="AA109" s="33"/>
      <c r="AB109" s="7"/>
      <c r="AC109" s="33"/>
      <c r="AD109" s="33"/>
      <c r="AE109" s="33"/>
      <c r="AF109" s="7"/>
      <c r="AG109" s="33"/>
      <c r="AH109" s="323"/>
      <c r="AI109" s="323"/>
      <c r="AJ109" s="323"/>
      <c r="AK109" s="33"/>
      <c r="AL109" s="7"/>
      <c r="AM109" s="33"/>
      <c r="AN109" s="7"/>
      <c r="AO109" s="33"/>
      <c r="AP109" s="33"/>
      <c r="AQ109" s="7"/>
      <c r="AR109" s="7"/>
      <c r="AS109" s="7"/>
      <c r="AT109" s="33"/>
      <c r="AU109" s="33"/>
      <c r="AV109" s="7"/>
      <c r="AW109" s="33"/>
      <c r="AX109" s="33"/>
      <c r="AY109" s="7"/>
      <c r="AZ109" s="33"/>
      <c r="BA109" s="33"/>
      <c r="BB109" s="7"/>
      <c r="BC109" s="33"/>
      <c r="BD109" s="7"/>
      <c r="BE109" s="33"/>
      <c r="BF109" s="7"/>
      <c r="BG109" s="33"/>
      <c r="BH109" s="7"/>
      <c r="BI109" s="33"/>
      <c r="BJ109" s="7"/>
      <c r="BK109" s="33"/>
      <c r="BL109" s="7"/>
      <c r="BM109" s="33"/>
      <c r="BN109" s="7"/>
      <c r="BO109" s="33"/>
      <c r="BP109" s="14"/>
      <c r="BQ109" s="14"/>
      <c r="BR109" s="7"/>
      <c r="BS109" s="7"/>
      <c r="BT109" s="7"/>
      <c r="BU109" s="15"/>
      <c r="BV109" s="15"/>
      <c r="BW109" s="300"/>
      <c r="BX109" s="300"/>
      <c r="BY109" s="33"/>
      <c r="BZ109" s="36"/>
    </row>
    <row r="110" spans="1:78" s="1" customFormat="1" ht="15" customHeight="1">
      <c r="A110" s="12" t="s">
        <v>7</v>
      </c>
      <c r="B110" s="24" t="s">
        <v>62</v>
      </c>
      <c r="C110" s="24" t="s">
        <v>227</v>
      </c>
      <c r="D110" s="24"/>
      <c r="E110" s="3">
        <v>255005</v>
      </c>
      <c r="F110" s="9"/>
      <c r="G110" s="10"/>
      <c r="H110" s="3"/>
      <c r="I110" s="11"/>
      <c r="J110" s="3"/>
      <c r="K110" s="11"/>
      <c r="L110" s="11"/>
      <c r="M110" s="11"/>
      <c r="N110" s="11"/>
      <c r="O110" s="11"/>
      <c r="P110" s="11"/>
      <c r="Q110" s="12"/>
      <c r="R110" s="12"/>
      <c r="S110" s="12"/>
      <c r="T110" s="12"/>
      <c r="U110" s="12"/>
      <c r="V110" s="13"/>
      <c r="W110" s="34"/>
      <c r="X110" s="24" t="s">
        <v>485</v>
      </c>
      <c r="Y110" s="12"/>
      <c r="Z110" s="33"/>
      <c r="AA110" s="33"/>
      <c r="AB110" s="7"/>
      <c r="AC110" s="33"/>
      <c r="AD110" s="33"/>
      <c r="AE110" s="33"/>
      <c r="AF110" s="7"/>
      <c r="AG110" s="33"/>
      <c r="AH110" s="323">
        <v>1000000</v>
      </c>
      <c r="AI110" s="323">
        <v>1000000</v>
      </c>
      <c r="AJ110" s="323">
        <v>5000000</v>
      </c>
      <c r="AK110" s="33"/>
      <c r="AL110" s="7"/>
      <c r="AM110" s="33"/>
      <c r="AN110" s="7"/>
      <c r="AO110" s="33"/>
      <c r="AP110" s="33"/>
      <c r="AQ110" s="7"/>
      <c r="AR110" s="7"/>
      <c r="AS110" s="7"/>
      <c r="AT110" s="33"/>
      <c r="AU110" s="33"/>
      <c r="AV110" s="7"/>
      <c r="AW110" s="33"/>
      <c r="AX110" s="33"/>
      <c r="AY110" s="7"/>
      <c r="AZ110" s="33"/>
      <c r="BA110" s="33"/>
      <c r="BB110" s="7"/>
      <c r="BC110" s="33"/>
      <c r="BD110" s="7"/>
      <c r="BE110" s="33"/>
      <c r="BF110" s="7"/>
      <c r="BG110" s="33"/>
      <c r="BH110" s="7"/>
      <c r="BI110" s="33"/>
      <c r="BJ110" s="7"/>
      <c r="BK110" s="33"/>
      <c r="BL110" s="7"/>
      <c r="BM110" s="33"/>
      <c r="BN110" s="7"/>
      <c r="BO110" s="33"/>
      <c r="BP110" s="14"/>
      <c r="BQ110" s="14"/>
      <c r="BR110" s="7"/>
      <c r="BS110" s="7"/>
      <c r="BT110" s="7"/>
      <c r="BU110" s="15"/>
      <c r="BV110" s="15"/>
      <c r="BW110" s="300"/>
      <c r="BX110" s="300"/>
      <c r="BY110" s="33"/>
      <c r="BZ110" s="36"/>
    </row>
    <row r="111" spans="1:78" s="1" customFormat="1" ht="15" customHeight="1">
      <c r="A111" s="12"/>
      <c r="B111" s="24"/>
      <c r="C111" s="24"/>
      <c r="D111" s="24"/>
      <c r="E111" s="3"/>
      <c r="F111" s="9"/>
      <c r="G111" s="10"/>
      <c r="H111" s="3"/>
      <c r="I111" s="11"/>
      <c r="J111" s="3"/>
      <c r="K111" s="11"/>
      <c r="L111" s="11"/>
      <c r="M111" s="11"/>
      <c r="N111" s="11"/>
      <c r="O111" s="11"/>
      <c r="P111" s="11"/>
      <c r="Q111" s="12"/>
      <c r="R111" s="12"/>
      <c r="S111" s="12"/>
      <c r="T111" s="12"/>
      <c r="U111" s="12"/>
      <c r="V111" s="13"/>
      <c r="W111" s="34"/>
      <c r="X111" s="24"/>
      <c r="Y111" s="12"/>
      <c r="Z111" s="33"/>
      <c r="AA111" s="33"/>
      <c r="AB111" s="7"/>
      <c r="AC111" s="33"/>
      <c r="AD111" s="33"/>
      <c r="AE111" s="33"/>
      <c r="AF111" s="7"/>
      <c r="AG111" s="33"/>
      <c r="AH111" s="323"/>
      <c r="AI111" s="323"/>
      <c r="AJ111" s="323"/>
      <c r="AK111" s="33"/>
      <c r="AL111" s="7"/>
      <c r="AM111" s="33"/>
      <c r="AN111" s="7"/>
      <c r="AO111" s="33"/>
      <c r="AP111" s="33"/>
      <c r="AQ111" s="7"/>
      <c r="AR111" s="7"/>
      <c r="AS111" s="7"/>
      <c r="AT111" s="33"/>
      <c r="AU111" s="33"/>
      <c r="AV111" s="7"/>
      <c r="AW111" s="33"/>
      <c r="AX111" s="33"/>
      <c r="AY111" s="7"/>
      <c r="AZ111" s="33"/>
      <c r="BA111" s="33"/>
      <c r="BB111" s="7"/>
      <c r="BC111" s="33"/>
      <c r="BD111" s="7"/>
      <c r="BE111" s="33"/>
      <c r="BF111" s="7"/>
      <c r="BG111" s="33"/>
      <c r="BH111" s="7"/>
      <c r="BI111" s="33"/>
      <c r="BJ111" s="7"/>
      <c r="BK111" s="33"/>
      <c r="BL111" s="7"/>
      <c r="BM111" s="33"/>
      <c r="BN111" s="7"/>
      <c r="BO111" s="33"/>
      <c r="BP111" s="14"/>
      <c r="BQ111" s="14"/>
      <c r="BR111" s="7"/>
      <c r="BS111" s="7"/>
      <c r="BT111" s="7"/>
      <c r="BU111" s="15"/>
      <c r="BV111" s="15"/>
      <c r="BW111" s="300"/>
      <c r="BX111" s="300"/>
      <c r="BY111" s="33"/>
      <c r="BZ111" s="36"/>
    </row>
    <row r="112" spans="1:78" s="1" customFormat="1" ht="15" customHeight="1">
      <c r="A112" s="12" t="s">
        <v>7</v>
      </c>
      <c r="B112" s="24" t="s">
        <v>62</v>
      </c>
      <c r="C112" s="24" t="s">
        <v>227</v>
      </c>
      <c r="D112" s="24"/>
      <c r="E112" s="3">
        <v>255005</v>
      </c>
      <c r="F112" s="9"/>
      <c r="G112" s="10"/>
      <c r="H112" s="3"/>
      <c r="I112" s="11"/>
      <c r="J112" s="3"/>
      <c r="K112" s="11"/>
      <c r="L112" s="11"/>
      <c r="M112" s="11"/>
      <c r="N112" s="11"/>
      <c r="O112" s="11"/>
      <c r="P112" s="11"/>
      <c r="Q112" s="12"/>
      <c r="R112" s="12"/>
      <c r="S112" s="12"/>
      <c r="T112" s="12"/>
      <c r="U112" s="12"/>
      <c r="V112" s="13"/>
      <c r="W112" s="34"/>
      <c r="X112" s="24" t="s">
        <v>486</v>
      </c>
      <c r="Y112" s="12"/>
      <c r="Z112" s="33"/>
      <c r="AA112" s="33"/>
      <c r="AB112" s="7"/>
      <c r="AC112" s="33"/>
      <c r="AD112" s="33"/>
      <c r="AE112" s="33"/>
      <c r="AF112" s="7"/>
      <c r="AG112" s="33"/>
      <c r="AH112" s="323">
        <v>1000000</v>
      </c>
      <c r="AI112" s="323">
        <v>1000000</v>
      </c>
      <c r="AJ112" s="323">
        <v>5000000</v>
      </c>
      <c r="AK112" s="33"/>
      <c r="AL112" s="7"/>
      <c r="AM112" s="33"/>
      <c r="AN112" s="7"/>
      <c r="AO112" s="33"/>
      <c r="AP112" s="33"/>
      <c r="AQ112" s="7"/>
      <c r="AR112" s="7"/>
      <c r="AS112" s="7"/>
      <c r="AT112" s="33"/>
      <c r="AU112" s="33"/>
      <c r="AV112" s="7"/>
      <c r="AW112" s="33"/>
      <c r="AX112" s="33"/>
      <c r="AY112" s="7"/>
      <c r="AZ112" s="33"/>
      <c r="BA112" s="33"/>
      <c r="BB112" s="7"/>
      <c r="BC112" s="33"/>
      <c r="BD112" s="7"/>
      <c r="BE112" s="33"/>
      <c r="BF112" s="7"/>
      <c r="BG112" s="33"/>
      <c r="BH112" s="7"/>
      <c r="BI112" s="33"/>
      <c r="BJ112" s="7"/>
      <c r="BK112" s="33"/>
      <c r="BL112" s="7"/>
      <c r="BM112" s="33"/>
      <c r="BN112" s="7"/>
      <c r="BO112" s="33"/>
      <c r="BP112" s="14"/>
      <c r="BQ112" s="14"/>
      <c r="BR112" s="7"/>
      <c r="BS112" s="7"/>
      <c r="BT112" s="7"/>
      <c r="BU112" s="15"/>
      <c r="BV112" s="15"/>
      <c r="BW112" s="300"/>
      <c r="BX112" s="300"/>
      <c r="BY112" s="33"/>
      <c r="BZ112" s="36"/>
    </row>
    <row r="113" spans="1:78" s="1" customFormat="1" ht="15" customHeight="1">
      <c r="A113" s="12"/>
      <c r="B113" s="24"/>
      <c r="C113" s="24"/>
      <c r="D113" s="24"/>
      <c r="E113" s="3"/>
      <c r="F113" s="9"/>
      <c r="G113" s="10"/>
      <c r="H113" s="3"/>
      <c r="I113" s="11"/>
      <c r="J113" s="3"/>
      <c r="K113" s="11"/>
      <c r="L113" s="11"/>
      <c r="M113" s="11"/>
      <c r="N113" s="11"/>
      <c r="O113" s="11"/>
      <c r="P113" s="11"/>
      <c r="Q113" s="12"/>
      <c r="R113" s="12"/>
      <c r="S113" s="12"/>
      <c r="T113" s="12"/>
      <c r="U113" s="12"/>
      <c r="V113" s="13"/>
      <c r="W113" s="34"/>
      <c r="X113" s="24"/>
      <c r="Y113" s="12"/>
      <c r="Z113" s="33"/>
      <c r="AA113" s="33"/>
      <c r="AB113" s="7"/>
      <c r="AC113" s="33"/>
      <c r="AD113" s="33"/>
      <c r="AE113" s="33"/>
      <c r="AF113" s="7"/>
      <c r="AG113" s="33"/>
      <c r="AH113" s="323"/>
      <c r="AI113" s="323"/>
      <c r="AJ113" s="323"/>
      <c r="AK113" s="33"/>
      <c r="AL113" s="7"/>
      <c r="AM113" s="33"/>
      <c r="AN113" s="7"/>
      <c r="AO113" s="33"/>
      <c r="AP113" s="33"/>
      <c r="AQ113" s="7"/>
      <c r="AR113" s="7"/>
      <c r="AS113" s="7"/>
      <c r="AT113" s="33"/>
      <c r="AU113" s="33"/>
      <c r="AV113" s="7"/>
      <c r="AW113" s="33"/>
      <c r="AX113" s="33"/>
      <c r="AY113" s="7"/>
      <c r="AZ113" s="33"/>
      <c r="BA113" s="33"/>
      <c r="BB113" s="7"/>
      <c r="BC113" s="33"/>
      <c r="BD113" s="7"/>
      <c r="BE113" s="33"/>
      <c r="BF113" s="7"/>
      <c r="BG113" s="33"/>
      <c r="BH113" s="7"/>
      <c r="BI113" s="33"/>
      <c r="BJ113" s="7"/>
      <c r="BK113" s="33"/>
      <c r="BL113" s="7"/>
      <c r="BM113" s="33"/>
      <c r="BN113" s="7"/>
      <c r="BO113" s="33"/>
      <c r="BP113" s="14"/>
      <c r="BQ113" s="14"/>
      <c r="BR113" s="7"/>
      <c r="BS113" s="7"/>
      <c r="BT113" s="7"/>
      <c r="BU113" s="15"/>
      <c r="BV113" s="15"/>
      <c r="BW113" s="300"/>
      <c r="BX113" s="300"/>
      <c r="BY113" s="33"/>
      <c r="BZ113" s="36"/>
    </row>
    <row r="114" spans="1:78" s="1" customFormat="1" ht="15" customHeight="1">
      <c r="A114" s="12" t="s">
        <v>7</v>
      </c>
      <c r="B114" s="24" t="s">
        <v>62</v>
      </c>
      <c r="C114" s="24" t="s">
        <v>227</v>
      </c>
      <c r="D114" s="24"/>
      <c r="E114" s="3">
        <v>255005</v>
      </c>
      <c r="F114" s="9"/>
      <c r="G114" s="10"/>
      <c r="H114" s="3"/>
      <c r="I114" s="11"/>
      <c r="J114" s="3"/>
      <c r="K114" s="11"/>
      <c r="L114" s="11"/>
      <c r="M114" s="11"/>
      <c r="N114" s="11"/>
      <c r="O114" s="11"/>
      <c r="P114" s="11"/>
      <c r="Q114" s="12"/>
      <c r="R114" s="12"/>
      <c r="S114" s="12"/>
      <c r="T114" s="12"/>
      <c r="U114" s="12"/>
      <c r="V114" s="13"/>
      <c r="W114" s="34"/>
      <c r="X114" s="24" t="s">
        <v>487</v>
      </c>
      <c r="Y114" s="12"/>
      <c r="Z114" s="33"/>
      <c r="AA114" s="33"/>
      <c r="AB114" s="7"/>
      <c r="AC114" s="33"/>
      <c r="AD114" s="33"/>
      <c r="AE114" s="33"/>
      <c r="AF114" s="7"/>
      <c r="AG114" s="33"/>
      <c r="AH114" s="323">
        <v>1000000</v>
      </c>
      <c r="AI114" s="323">
        <v>1000000</v>
      </c>
      <c r="AJ114" s="323">
        <v>5000000</v>
      </c>
      <c r="AK114" s="33"/>
      <c r="AL114" s="7"/>
      <c r="AM114" s="33"/>
      <c r="AN114" s="7"/>
      <c r="AO114" s="33"/>
      <c r="AP114" s="33"/>
      <c r="AQ114" s="7"/>
      <c r="AR114" s="7"/>
      <c r="AS114" s="7"/>
      <c r="AT114" s="33"/>
      <c r="AU114" s="33"/>
      <c r="AV114" s="7"/>
      <c r="AW114" s="33"/>
      <c r="AX114" s="33"/>
      <c r="AY114" s="7"/>
      <c r="AZ114" s="33"/>
      <c r="BA114" s="33"/>
      <c r="BB114" s="7"/>
      <c r="BC114" s="33"/>
      <c r="BD114" s="7"/>
      <c r="BE114" s="33"/>
      <c r="BF114" s="7"/>
      <c r="BG114" s="33"/>
      <c r="BH114" s="7"/>
      <c r="BI114" s="33"/>
      <c r="BJ114" s="7"/>
      <c r="BK114" s="33"/>
      <c r="BL114" s="7"/>
      <c r="BM114" s="33"/>
      <c r="BN114" s="7"/>
      <c r="BO114" s="33"/>
      <c r="BP114" s="14"/>
      <c r="BQ114" s="14"/>
      <c r="BR114" s="7"/>
      <c r="BS114" s="7"/>
      <c r="BT114" s="7"/>
      <c r="BU114" s="15"/>
      <c r="BV114" s="15"/>
      <c r="BW114" s="300"/>
      <c r="BX114" s="300"/>
      <c r="BY114" s="33"/>
      <c r="BZ114" s="36"/>
    </row>
    <row r="115" spans="1:78" s="1" customFormat="1" ht="15" customHeight="1">
      <c r="A115" s="12"/>
      <c r="B115" s="24"/>
      <c r="C115" s="24"/>
      <c r="D115" s="24"/>
      <c r="E115" s="3"/>
      <c r="F115" s="9"/>
      <c r="G115" s="10"/>
      <c r="H115" s="3"/>
      <c r="I115" s="11"/>
      <c r="J115" s="3"/>
      <c r="K115" s="11"/>
      <c r="L115" s="11"/>
      <c r="M115" s="11"/>
      <c r="N115" s="11"/>
      <c r="O115" s="11"/>
      <c r="P115" s="11"/>
      <c r="Q115" s="12"/>
      <c r="R115" s="12"/>
      <c r="S115" s="12"/>
      <c r="T115" s="12"/>
      <c r="U115" s="12"/>
      <c r="V115" s="13"/>
      <c r="W115" s="34"/>
      <c r="X115" s="24"/>
      <c r="Y115" s="12"/>
      <c r="Z115" s="33"/>
      <c r="AA115" s="33"/>
      <c r="AB115" s="7"/>
      <c r="AC115" s="33"/>
      <c r="AD115" s="33"/>
      <c r="AE115" s="33"/>
      <c r="AF115" s="7"/>
      <c r="AG115" s="33"/>
      <c r="AH115" s="323"/>
      <c r="AI115" s="323"/>
      <c r="AJ115" s="323"/>
      <c r="AK115" s="33"/>
      <c r="AL115" s="7"/>
      <c r="AM115" s="33"/>
      <c r="AN115" s="7"/>
      <c r="AO115" s="33"/>
      <c r="AP115" s="33"/>
      <c r="AQ115" s="7"/>
      <c r="AR115" s="7"/>
      <c r="AS115" s="7"/>
      <c r="AT115" s="33"/>
      <c r="AU115" s="33"/>
      <c r="AV115" s="7"/>
      <c r="AW115" s="33"/>
      <c r="AX115" s="33"/>
      <c r="AY115" s="7"/>
      <c r="AZ115" s="33"/>
      <c r="BA115" s="33"/>
      <c r="BB115" s="7"/>
      <c r="BC115" s="33"/>
      <c r="BD115" s="7"/>
      <c r="BE115" s="33"/>
      <c r="BF115" s="7"/>
      <c r="BG115" s="33"/>
      <c r="BH115" s="7"/>
      <c r="BI115" s="33"/>
      <c r="BJ115" s="7"/>
      <c r="BK115" s="33"/>
      <c r="BL115" s="7"/>
      <c r="BM115" s="33"/>
      <c r="BN115" s="7"/>
      <c r="BO115" s="33"/>
      <c r="BP115" s="14"/>
      <c r="BQ115" s="14"/>
      <c r="BR115" s="7"/>
      <c r="BS115" s="7"/>
      <c r="BT115" s="7"/>
      <c r="BU115" s="15"/>
      <c r="BV115" s="15"/>
      <c r="BW115" s="300"/>
      <c r="BX115" s="300"/>
      <c r="BY115" s="33"/>
      <c r="BZ115" s="36"/>
    </row>
    <row r="116" spans="1:78" s="1" customFormat="1" ht="33" customHeight="1">
      <c r="A116" s="12" t="s">
        <v>7</v>
      </c>
      <c r="B116" s="24" t="s">
        <v>62</v>
      </c>
      <c r="C116" s="24" t="s">
        <v>227</v>
      </c>
      <c r="D116" s="24"/>
      <c r="E116" s="3">
        <v>255005</v>
      </c>
      <c r="F116" s="9"/>
      <c r="G116" s="10"/>
      <c r="H116" s="3"/>
      <c r="I116" s="11"/>
      <c r="J116" s="3"/>
      <c r="K116" s="11"/>
      <c r="L116" s="11"/>
      <c r="M116" s="11"/>
      <c r="N116" s="11"/>
      <c r="O116" s="11"/>
      <c r="P116" s="11"/>
      <c r="Q116" s="12"/>
      <c r="R116" s="12"/>
      <c r="S116" s="12"/>
      <c r="T116" s="12"/>
      <c r="U116" s="12"/>
      <c r="V116" s="13"/>
      <c r="W116" s="34"/>
      <c r="X116" s="24" t="s">
        <v>488</v>
      </c>
      <c r="Y116" s="12"/>
      <c r="Z116" s="33"/>
      <c r="AA116" s="33"/>
      <c r="AB116" s="7"/>
      <c r="AC116" s="33"/>
      <c r="AD116" s="33"/>
      <c r="AE116" s="33"/>
      <c r="AF116" s="7"/>
      <c r="AG116" s="33"/>
      <c r="AH116" s="323">
        <v>2140000</v>
      </c>
      <c r="AI116" s="323">
        <v>5350000</v>
      </c>
      <c r="AJ116" s="323">
        <v>3000000</v>
      </c>
      <c r="AK116" s="33"/>
      <c r="AL116" s="7"/>
      <c r="AM116" s="33"/>
      <c r="AN116" s="7"/>
      <c r="AO116" s="33"/>
      <c r="AP116" s="33"/>
      <c r="AQ116" s="7"/>
      <c r="AR116" s="7"/>
      <c r="AS116" s="7"/>
      <c r="AT116" s="33"/>
      <c r="AU116" s="33"/>
      <c r="AV116" s="7"/>
      <c r="AW116" s="33"/>
      <c r="AX116" s="33"/>
      <c r="AY116" s="7"/>
      <c r="AZ116" s="33"/>
      <c r="BA116" s="33"/>
      <c r="BB116" s="7"/>
      <c r="BC116" s="33"/>
      <c r="BD116" s="7"/>
      <c r="BE116" s="33"/>
      <c r="BF116" s="7"/>
      <c r="BG116" s="33"/>
      <c r="BH116" s="7"/>
      <c r="BI116" s="33"/>
      <c r="BJ116" s="7"/>
      <c r="BK116" s="33"/>
      <c r="BL116" s="7"/>
      <c r="BM116" s="33"/>
      <c r="BN116" s="7"/>
      <c r="BO116" s="33"/>
      <c r="BP116" s="14"/>
      <c r="BQ116" s="14"/>
      <c r="BR116" s="7"/>
      <c r="BS116" s="7"/>
      <c r="BT116" s="7"/>
      <c r="BU116" s="15"/>
      <c r="BV116" s="15"/>
      <c r="BW116" s="300"/>
      <c r="BX116" s="300"/>
      <c r="BY116" s="33"/>
      <c r="BZ116" s="36"/>
    </row>
    <row r="117" spans="1:78" s="1" customFormat="1" ht="15" customHeight="1">
      <c r="A117" s="9"/>
      <c r="B117" s="24"/>
      <c r="C117" s="24"/>
      <c r="D117" s="24"/>
      <c r="E117" s="3"/>
      <c r="F117" s="9"/>
      <c r="G117" s="10"/>
      <c r="H117" s="3"/>
      <c r="I117" s="11"/>
      <c r="J117" s="3"/>
      <c r="K117" s="11"/>
      <c r="L117" s="11"/>
      <c r="M117" s="11"/>
      <c r="N117" s="11"/>
      <c r="O117" s="11"/>
      <c r="P117" s="11"/>
      <c r="Q117" s="12"/>
      <c r="R117" s="12"/>
      <c r="S117" s="12"/>
      <c r="T117" s="12"/>
      <c r="U117" s="12"/>
      <c r="V117" s="13"/>
      <c r="W117" s="34"/>
      <c r="X117" s="24"/>
      <c r="Y117" s="12"/>
      <c r="Z117" s="33"/>
      <c r="AA117" s="33"/>
      <c r="AB117" s="7"/>
      <c r="AC117" s="33"/>
      <c r="AD117" s="33"/>
      <c r="AE117" s="33"/>
      <c r="AF117" s="7"/>
      <c r="AG117" s="33"/>
      <c r="AH117" s="323"/>
      <c r="AI117" s="323"/>
      <c r="AJ117" s="323"/>
      <c r="AK117" s="33"/>
      <c r="AL117" s="7"/>
      <c r="AM117" s="33"/>
      <c r="AN117" s="7"/>
      <c r="AO117" s="33"/>
      <c r="AP117" s="33"/>
      <c r="AQ117" s="7"/>
      <c r="AR117" s="7"/>
      <c r="AS117" s="7"/>
      <c r="AT117" s="33"/>
      <c r="AU117" s="33"/>
      <c r="AV117" s="7"/>
      <c r="AW117" s="33"/>
      <c r="AX117" s="33"/>
      <c r="AY117" s="7"/>
      <c r="AZ117" s="33"/>
      <c r="BA117" s="33"/>
      <c r="BB117" s="7"/>
      <c r="BC117" s="33"/>
      <c r="BD117" s="7"/>
      <c r="BE117" s="33"/>
      <c r="BF117" s="7"/>
      <c r="BG117" s="33"/>
      <c r="BH117" s="7"/>
      <c r="BI117" s="33"/>
      <c r="BJ117" s="7"/>
      <c r="BK117" s="33"/>
      <c r="BL117" s="7"/>
      <c r="BM117" s="33"/>
      <c r="BN117" s="7"/>
      <c r="BO117" s="33"/>
      <c r="BP117" s="14"/>
      <c r="BQ117" s="14"/>
      <c r="BR117" s="7"/>
      <c r="BS117" s="7"/>
      <c r="BT117" s="7"/>
      <c r="BU117" s="15"/>
      <c r="BV117" s="15"/>
      <c r="BW117" s="300"/>
      <c r="BX117" s="300"/>
      <c r="BY117" s="33"/>
      <c r="BZ117" s="36"/>
    </row>
    <row r="118" spans="1:78" s="1" customFormat="1" ht="15" customHeight="1">
      <c r="A118" s="12" t="s">
        <v>7</v>
      </c>
      <c r="B118" s="24" t="s">
        <v>62</v>
      </c>
      <c r="C118" s="24" t="s">
        <v>227</v>
      </c>
      <c r="D118" s="24"/>
      <c r="E118" s="3">
        <v>255005</v>
      </c>
      <c r="F118" s="9"/>
      <c r="G118" s="10"/>
      <c r="H118" s="3"/>
      <c r="I118" s="11"/>
      <c r="J118" s="3"/>
      <c r="K118" s="11"/>
      <c r="L118" s="11"/>
      <c r="M118" s="11"/>
      <c r="N118" s="11"/>
      <c r="O118" s="11"/>
      <c r="P118" s="11"/>
      <c r="Q118" s="12"/>
      <c r="R118" s="12"/>
      <c r="S118" s="12"/>
      <c r="T118" s="12"/>
      <c r="U118" s="12"/>
      <c r="V118" s="13"/>
      <c r="W118" s="34"/>
      <c r="X118" s="24" t="s">
        <v>490</v>
      </c>
      <c r="Y118" s="12"/>
      <c r="Z118" s="33"/>
      <c r="AA118" s="33"/>
      <c r="AB118" s="7"/>
      <c r="AC118" s="33"/>
      <c r="AD118" s="33"/>
      <c r="AE118" s="33"/>
      <c r="AF118" s="7"/>
      <c r="AG118" s="33"/>
      <c r="AH118" s="323">
        <v>150000</v>
      </c>
      <c r="AI118" s="323">
        <v>150000</v>
      </c>
      <c r="AJ118" s="323">
        <v>0</v>
      </c>
      <c r="AK118" s="33"/>
      <c r="AL118" s="7"/>
      <c r="AM118" s="33"/>
      <c r="AN118" s="7"/>
      <c r="AO118" s="33"/>
      <c r="AP118" s="33"/>
      <c r="AQ118" s="7"/>
      <c r="AR118" s="7"/>
      <c r="AS118" s="7"/>
      <c r="AT118" s="33"/>
      <c r="AU118" s="33"/>
      <c r="AV118" s="7"/>
      <c r="AW118" s="33"/>
      <c r="AX118" s="33"/>
      <c r="AY118" s="7"/>
      <c r="AZ118" s="33"/>
      <c r="BA118" s="33"/>
      <c r="BB118" s="7"/>
      <c r="BC118" s="33"/>
      <c r="BD118" s="7"/>
      <c r="BE118" s="33"/>
      <c r="BF118" s="7"/>
      <c r="BG118" s="33"/>
      <c r="BH118" s="7"/>
      <c r="BI118" s="33"/>
      <c r="BJ118" s="7"/>
      <c r="BK118" s="33"/>
      <c r="BL118" s="7"/>
      <c r="BM118" s="33"/>
      <c r="BN118" s="7"/>
      <c r="BO118" s="33"/>
      <c r="BP118" s="14"/>
      <c r="BQ118" s="14"/>
      <c r="BR118" s="7"/>
      <c r="BS118" s="7"/>
      <c r="BT118" s="7"/>
      <c r="BU118" s="15"/>
      <c r="BV118" s="15"/>
      <c r="BW118" s="300"/>
      <c r="BX118" s="300"/>
      <c r="BY118" s="33"/>
      <c r="BZ118" s="36"/>
    </row>
    <row r="119" spans="1:78" s="1" customFormat="1" ht="15" customHeight="1">
      <c r="A119" s="9"/>
      <c r="B119" s="24"/>
      <c r="C119" s="24"/>
      <c r="D119" s="24"/>
      <c r="E119" s="3"/>
      <c r="F119" s="9"/>
      <c r="G119" s="10"/>
      <c r="H119" s="3"/>
      <c r="I119" s="11"/>
      <c r="J119" s="3"/>
      <c r="K119" s="11"/>
      <c r="L119" s="11"/>
      <c r="M119" s="11"/>
      <c r="N119" s="11"/>
      <c r="O119" s="11"/>
      <c r="P119" s="11"/>
      <c r="Q119" s="12"/>
      <c r="R119" s="12"/>
      <c r="S119" s="12"/>
      <c r="T119" s="12"/>
      <c r="U119" s="12"/>
      <c r="V119" s="13"/>
      <c r="W119" s="34"/>
      <c r="X119" s="24"/>
      <c r="Y119" s="12"/>
      <c r="Z119" s="33"/>
      <c r="AA119" s="33"/>
      <c r="AB119" s="7"/>
      <c r="AC119" s="33"/>
      <c r="AD119" s="33"/>
      <c r="AE119" s="33"/>
      <c r="AF119" s="7"/>
      <c r="AG119" s="33"/>
      <c r="AH119" s="323"/>
      <c r="AI119" s="323"/>
      <c r="AJ119" s="323"/>
      <c r="AK119" s="33"/>
      <c r="AL119" s="7"/>
      <c r="AM119" s="33"/>
      <c r="AN119" s="7"/>
      <c r="AO119" s="33"/>
      <c r="AP119" s="33"/>
      <c r="AQ119" s="7"/>
      <c r="AR119" s="7"/>
      <c r="AS119" s="7"/>
      <c r="AT119" s="33"/>
      <c r="AU119" s="33"/>
      <c r="AV119" s="7"/>
      <c r="AW119" s="33"/>
      <c r="AX119" s="33"/>
      <c r="AY119" s="7"/>
      <c r="AZ119" s="33"/>
      <c r="BA119" s="33"/>
      <c r="BB119" s="7"/>
      <c r="BC119" s="33"/>
      <c r="BD119" s="7"/>
      <c r="BE119" s="33"/>
      <c r="BF119" s="7"/>
      <c r="BG119" s="33"/>
      <c r="BH119" s="7"/>
      <c r="BI119" s="33"/>
      <c r="BJ119" s="7"/>
      <c r="BK119" s="33"/>
      <c r="BL119" s="7"/>
      <c r="BM119" s="33"/>
      <c r="BN119" s="7"/>
      <c r="BO119" s="33"/>
      <c r="BP119" s="14"/>
      <c r="BQ119" s="14"/>
      <c r="BR119" s="7"/>
      <c r="BS119" s="7"/>
      <c r="BT119" s="7"/>
      <c r="BU119" s="15"/>
      <c r="BV119" s="15"/>
      <c r="BW119" s="300"/>
      <c r="BX119" s="300"/>
      <c r="BY119" s="33"/>
      <c r="BZ119" s="36"/>
    </row>
    <row r="120" spans="1:78" s="1" customFormat="1" ht="15" customHeight="1">
      <c r="A120" s="12" t="s">
        <v>7</v>
      </c>
      <c r="B120" s="24" t="s">
        <v>62</v>
      </c>
      <c r="C120" s="24" t="s">
        <v>227</v>
      </c>
      <c r="D120" s="24"/>
      <c r="E120" s="3">
        <v>255005</v>
      </c>
      <c r="F120" s="9"/>
      <c r="G120" s="10"/>
      <c r="H120" s="3"/>
      <c r="I120" s="11"/>
      <c r="J120" s="3"/>
      <c r="K120" s="11"/>
      <c r="L120" s="11"/>
      <c r="M120" s="11"/>
      <c r="N120" s="11"/>
      <c r="O120" s="11"/>
      <c r="P120" s="11"/>
      <c r="Q120" s="12"/>
      <c r="R120" s="12"/>
      <c r="S120" s="12"/>
      <c r="T120" s="12"/>
      <c r="U120" s="12"/>
      <c r="V120" s="13"/>
      <c r="W120" s="34"/>
      <c r="X120" s="24" t="s">
        <v>489</v>
      </c>
      <c r="Y120" s="12"/>
      <c r="Z120" s="33"/>
      <c r="AA120" s="33"/>
      <c r="AB120" s="7"/>
      <c r="AC120" s="33"/>
      <c r="AD120" s="33"/>
      <c r="AE120" s="33"/>
      <c r="AF120" s="7"/>
      <c r="AG120" s="33"/>
      <c r="AH120" s="327">
        <v>500000</v>
      </c>
      <c r="AI120" s="327">
        <v>0</v>
      </c>
      <c r="AJ120" s="327">
        <v>0</v>
      </c>
      <c r="AK120" s="33"/>
      <c r="AL120" s="7"/>
      <c r="AM120" s="33"/>
      <c r="AN120" s="7"/>
      <c r="AO120" s="33"/>
      <c r="AP120" s="33"/>
      <c r="AQ120" s="7"/>
      <c r="AR120" s="7"/>
      <c r="AS120" s="7"/>
      <c r="AT120" s="33"/>
      <c r="AU120" s="33"/>
      <c r="AV120" s="7"/>
      <c r="AW120" s="33"/>
      <c r="AX120" s="33"/>
      <c r="AY120" s="7"/>
      <c r="AZ120" s="33"/>
      <c r="BA120" s="33"/>
      <c r="BB120" s="7"/>
      <c r="BC120" s="33"/>
      <c r="BD120" s="7"/>
      <c r="BE120" s="33"/>
      <c r="BF120" s="7"/>
      <c r="BG120" s="33"/>
      <c r="BH120" s="7"/>
      <c r="BI120" s="33"/>
      <c r="BJ120" s="7"/>
      <c r="BK120" s="33"/>
      <c r="BL120" s="7"/>
      <c r="BM120" s="33"/>
      <c r="BN120" s="7"/>
      <c r="BO120" s="33"/>
      <c r="BP120" s="14"/>
      <c r="BQ120" s="14"/>
      <c r="BR120" s="7"/>
      <c r="BS120" s="7"/>
      <c r="BT120" s="7"/>
      <c r="BU120" s="15"/>
      <c r="BV120" s="15"/>
      <c r="BW120" s="300"/>
      <c r="BX120" s="300"/>
      <c r="BY120" s="33"/>
      <c r="BZ120" s="36"/>
    </row>
    <row r="121" spans="1:78" s="1" customFormat="1" ht="15" customHeight="1">
      <c r="A121" s="9"/>
      <c r="B121" s="24"/>
      <c r="C121" s="24"/>
      <c r="D121" s="24"/>
      <c r="E121" s="3"/>
      <c r="F121" s="9"/>
      <c r="G121" s="10"/>
      <c r="H121" s="3"/>
      <c r="I121" s="11"/>
      <c r="J121" s="3"/>
      <c r="K121" s="11"/>
      <c r="L121" s="11"/>
      <c r="M121" s="11"/>
      <c r="N121" s="11"/>
      <c r="O121" s="11"/>
      <c r="P121" s="11"/>
      <c r="Q121" s="12"/>
      <c r="R121" s="12"/>
      <c r="S121" s="12"/>
      <c r="T121" s="12"/>
      <c r="U121" s="12"/>
      <c r="V121" s="13"/>
      <c r="W121" s="34"/>
      <c r="X121" s="24"/>
      <c r="Y121" s="12"/>
      <c r="Z121" s="33"/>
      <c r="AA121" s="33"/>
      <c r="AB121" s="7"/>
      <c r="AC121" s="33"/>
      <c r="AD121" s="33"/>
      <c r="AE121" s="33"/>
      <c r="AF121" s="7"/>
      <c r="AG121" s="33"/>
      <c r="AH121" s="323"/>
      <c r="AI121" s="323"/>
      <c r="AJ121" s="323"/>
      <c r="AK121" s="33"/>
      <c r="AL121" s="7"/>
      <c r="AM121" s="33"/>
      <c r="AN121" s="7"/>
      <c r="AO121" s="33"/>
      <c r="AP121" s="33"/>
      <c r="AQ121" s="7"/>
      <c r="AR121" s="7"/>
      <c r="AS121" s="7"/>
      <c r="AT121" s="33"/>
      <c r="AU121" s="33"/>
      <c r="AV121" s="7"/>
      <c r="AW121" s="33"/>
      <c r="AX121" s="33"/>
      <c r="AY121" s="7"/>
      <c r="AZ121" s="33"/>
      <c r="BA121" s="33"/>
      <c r="BB121" s="7"/>
      <c r="BC121" s="33"/>
      <c r="BD121" s="7"/>
      <c r="BE121" s="33"/>
      <c r="BF121" s="7"/>
      <c r="BG121" s="33"/>
      <c r="BH121" s="7"/>
      <c r="BI121" s="33"/>
      <c r="BJ121" s="7"/>
      <c r="BK121" s="33"/>
      <c r="BL121" s="7"/>
      <c r="BM121" s="33"/>
      <c r="BN121" s="7"/>
      <c r="BO121" s="33"/>
      <c r="BP121" s="14"/>
      <c r="BQ121" s="14"/>
      <c r="BR121" s="7"/>
      <c r="BS121" s="7"/>
      <c r="BT121" s="7"/>
      <c r="BU121" s="15"/>
      <c r="BV121" s="15"/>
      <c r="BW121" s="300"/>
      <c r="BX121" s="300"/>
      <c r="BY121" s="33"/>
      <c r="BZ121" s="36"/>
    </row>
    <row r="122" spans="1:78" s="1" customFormat="1" ht="16.5" customHeight="1" thickBot="1">
      <c r="A122" s="114"/>
      <c r="B122" s="28"/>
      <c r="C122" s="28"/>
      <c r="D122" s="28"/>
      <c r="E122" s="16"/>
      <c r="F122" s="37"/>
      <c r="G122" s="38"/>
      <c r="H122" s="16"/>
      <c r="I122" s="16"/>
      <c r="J122" s="16"/>
      <c r="K122" s="16"/>
      <c r="L122" s="16"/>
      <c r="M122" s="16"/>
      <c r="N122" s="16"/>
      <c r="O122" s="16"/>
      <c r="P122" s="16"/>
      <c r="Q122" s="28"/>
      <c r="R122" s="28"/>
      <c r="S122" s="28"/>
      <c r="T122" s="28"/>
      <c r="U122" s="28"/>
      <c r="V122" s="39"/>
      <c r="W122" s="40"/>
      <c r="X122" s="41" t="s">
        <v>114</v>
      </c>
      <c r="Y122" s="28"/>
      <c r="Z122" s="42">
        <f>SUM(Z14:Z104)</f>
        <v>76264440</v>
      </c>
      <c r="AA122" s="42">
        <f>SUM(AA14:AA104)</f>
        <v>0</v>
      </c>
      <c r="AB122" s="42">
        <f>SUM(AB14:AB104)</f>
        <v>76264440</v>
      </c>
      <c r="AC122" s="42">
        <f>SUM(AC14:AC104)</f>
        <v>7085951</v>
      </c>
      <c r="AD122" s="42">
        <f>SUM(AD7:AD104)</f>
        <v>83550391</v>
      </c>
      <c r="AE122" s="42">
        <f>SUM(AE7:AE104)</f>
        <v>-800000</v>
      </c>
      <c r="AF122" s="42">
        <f>SUM(AF7:AF104)</f>
        <v>82750391</v>
      </c>
      <c r="AG122" s="42">
        <f>SUM(AG7:AG104)</f>
        <v>0</v>
      </c>
      <c r="AH122" s="42">
        <f>+AH120+AH118+AH116+AH114+AH112+AH110+AH108+AH106+AH102+AH100+AH96+AH93+AH89+AH84+AH78+AH73+AH67+AH61+AH56+AH46+AH39+AH35+AH25+AH21+AH17+AH12+AH7+AH63+AH41</f>
        <v>255581203</v>
      </c>
      <c r="AI122" s="42">
        <f>+AI120+AI118+AI116+AI114+AI112+AI110+AI108+AI106+AI102+AI100+AI96+AI93+AI89+AI84+AI78+AI73+AI67+AI61+AI56+AI46+AI39+AI35+AI25+AI21+AI17+AI12+AI7+AI63+AI41</f>
        <v>561229653</v>
      </c>
      <c r="AJ122" s="42">
        <f>+AJ120+AJ118+AJ116+AJ114+AJ112+AJ110+AJ108+AJ106+AJ102+AJ100+AJ96+AJ93+AJ89+AJ84+AJ78+AJ73+AJ67+AJ61+AJ56+AJ46+AJ39+AJ35+AJ25+AJ21+AJ17+AJ12+AJ7+AJ63+AJ41</f>
        <v>899525120.73000002</v>
      </c>
      <c r="AK122" s="42">
        <f t="shared" ref="AK122:BT122" si="30">SUM(AK14:AK104)</f>
        <v>0</v>
      </c>
      <c r="AL122" s="42">
        <f t="shared" si="30"/>
        <v>0</v>
      </c>
      <c r="AM122" s="42">
        <f t="shared" si="30"/>
        <v>206300.69</v>
      </c>
      <c r="AN122" s="42">
        <f t="shared" si="30"/>
        <v>227189.19</v>
      </c>
      <c r="AO122" s="42">
        <f t="shared" si="30"/>
        <v>1146539.54</v>
      </c>
      <c r="AP122" s="42">
        <f t="shared" si="30"/>
        <v>117970.53</v>
      </c>
      <c r="AQ122" s="42">
        <f t="shared" si="30"/>
        <v>1264510.07</v>
      </c>
      <c r="AR122" s="42">
        <f t="shared" si="30"/>
        <v>1352840.23</v>
      </c>
      <c r="AS122" s="42">
        <f t="shared" si="30"/>
        <v>1491699.2600000002</v>
      </c>
      <c r="AT122" s="42">
        <f t="shared" si="30"/>
        <v>452264</v>
      </c>
      <c r="AU122" s="42">
        <f t="shared" si="30"/>
        <v>102236.95999999999</v>
      </c>
      <c r="AV122" s="42">
        <f t="shared" si="30"/>
        <v>554500.96</v>
      </c>
      <c r="AW122" s="42">
        <f t="shared" si="30"/>
        <v>1396731.9100000001</v>
      </c>
      <c r="AX122" s="42">
        <f t="shared" si="30"/>
        <v>179317.02000000002</v>
      </c>
      <c r="AY122" s="42">
        <f t="shared" si="30"/>
        <v>1576048.9300000002</v>
      </c>
      <c r="AZ122" s="42">
        <f t="shared" si="30"/>
        <v>1289412.8900000001</v>
      </c>
      <c r="BA122" s="42">
        <f t="shared" si="30"/>
        <v>65239.82</v>
      </c>
      <c r="BB122" s="42">
        <f t="shared" si="30"/>
        <v>1354652.71</v>
      </c>
      <c r="BC122" s="42">
        <f t="shared" si="30"/>
        <v>0</v>
      </c>
      <c r="BD122" s="42">
        <f t="shared" si="30"/>
        <v>0</v>
      </c>
      <c r="BE122" s="42">
        <f t="shared" si="30"/>
        <v>0</v>
      </c>
      <c r="BF122" s="42">
        <f t="shared" si="30"/>
        <v>0</v>
      </c>
      <c r="BG122" s="42">
        <f t="shared" si="30"/>
        <v>0</v>
      </c>
      <c r="BH122" s="42">
        <f t="shared" si="30"/>
        <v>0</v>
      </c>
      <c r="BI122" s="42">
        <f t="shared" si="30"/>
        <v>0</v>
      </c>
      <c r="BJ122" s="42">
        <f t="shared" si="30"/>
        <v>0</v>
      </c>
      <c r="BK122" s="42">
        <f t="shared" si="30"/>
        <v>0</v>
      </c>
      <c r="BL122" s="42">
        <f t="shared" si="30"/>
        <v>0</v>
      </c>
      <c r="BM122" s="42">
        <f t="shared" si="30"/>
        <v>0</v>
      </c>
      <c r="BN122" s="42">
        <f t="shared" si="30"/>
        <v>0</v>
      </c>
      <c r="BO122" s="42">
        <f t="shared" si="30"/>
        <v>12905914.24</v>
      </c>
      <c r="BP122" s="42">
        <f t="shared" si="30"/>
        <v>4491249.0299999993</v>
      </c>
      <c r="BQ122" s="42">
        <f t="shared" si="30"/>
        <v>4976901.8599999994</v>
      </c>
      <c r="BR122" s="42">
        <f t="shared" si="30"/>
        <v>0</v>
      </c>
      <c r="BS122" s="42">
        <f t="shared" si="30"/>
        <v>78859141.969999999</v>
      </c>
      <c r="BT122" s="42">
        <f t="shared" si="30"/>
        <v>78373489.140000001</v>
      </c>
      <c r="BU122" s="21">
        <f>BP122/AD122</f>
        <v>5.3754973211316261E-2</v>
      </c>
      <c r="BV122" s="21">
        <f>BQ122/AD122</f>
        <v>5.9567666894581012E-2</v>
      </c>
      <c r="BW122" s="21"/>
      <c r="BX122" s="21"/>
      <c r="BY122" s="42">
        <f>SUM(BY7:BY104)</f>
        <v>0</v>
      </c>
      <c r="BZ122" s="42"/>
    </row>
    <row r="123" spans="1:78" ht="15.75" thickTop="1"/>
    <row r="125" spans="1:78">
      <c r="AH125" s="105">
        <v>152423095</v>
      </c>
      <c r="AI125" s="102">
        <v>375226653</v>
      </c>
      <c r="AJ125" s="103">
        <v>495000000</v>
      </c>
    </row>
    <row r="126" spans="1:78">
      <c r="AH126" s="105">
        <v>103158108</v>
      </c>
      <c r="AI126" s="102">
        <v>186003000</v>
      </c>
      <c r="AJ126" s="103">
        <v>404525120.73000002</v>
      </c>
    </row>
    <row r="127" spans="1:78" ht="16.5" thickBot="1">
      <c r="AH127" s="326">
        <f>SUM(AH125:AH126)</f>
        <v>255581203</v>
      </c>
      <c r="AI127" s="326">
        <f>SUM(AI125:AI126)</f>
        <v>561229653</v>
      </c>
      <c r="AJ127" s="326">
        <f>SUM(AJ125:AJ126)</f>
        <v>899525120.73000002</v>
      </c>
    </row>
    <row r="129" spans="34:36">
      <c r="AH129" s="102">
        <f>+AH127-AH122</f>
        <v>0</v>
      </c>
      <c r="AI129" s="102">
        <f>+AI127-AI122</f>
        <v>0</v>
      </c>
      <c r="AJ129" s="103">
        <f>+AJ127-AJ122</f>
        <v>0</v>
      </c>
    </row>
  </sheetData>
  <mergeCells count="1">
    <mergeCell ref="A2:BZ3"/>
  </mergeCells>
  <pageMargins left="0.70866141732283472" right="0.70866141732283472" top="0.74803149606299213" bottom="0.74803149606299213" header="0.31496062992125984" footer="0.31496062992125984"/>
  <pageSetup paperSize="9" scale="73"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2014-2017 Projects</vt:lpstr>
      <vt:lpstr>Summaries</vt:lpstr>
      <vt:lpstr>Housing</vt:lpstr>
      <vt:lpstr>capex</vt:lpstr>
      <vt:lpstr>'2014-2017 Projects'!Print_Area</vt:lpstr>
      <vt:lpstr>Housing!Print_Area</vt:lpstr>
      <vt:lpstr>Summaries!Print_Area</vt:lpstr>
      <vt:lpstr>'2014-2017 Projects'!Print_Titles</vt:lpstr>
      <vt:lpstr>Housing!Print_Titles</vt:lpstr>
    </vt:vector>
  </TitlesOfParts>
  <Company>BCM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ndzondik</dc:creator>
  <cp:lastModifiedBy> </cp:lastModifiedBy>
  <cp:lastPrinted>2014-08-12T12:56:45Z</cp:lastPrinted>
  <dcterms:created xsi:type="dcterms:W3CDTF">2011-03-07T12:31:57Z</dcterms:created>
  <dcterms:modified xsi:type="dcterms:W3CDTF">2014-08-12T13:04:32Z</dcterms:modified>
</cp:coreProperties>
</file>